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yf\Desktop\"/>
    </mc:Choice>
  </mc:AlternateContent>
  <xr:revisionPtr revIDLastSave="0" documentId="13_ncr:1_{D83EC763-EB64-4234-AF3D-AD0456EE68A6}" xr6:coauthVersionLast="45" xr6:coauthVersionMax="45" xr10:uidLastSave="{00000000-0000-0000-0000-000000000000}"/>
  <bookViews>
    <workbookView xWindow="20370" yWindow="-3165" windowWidth="24240" windowHeight="13140" tabRatio="710" xr2:uid="{00000000-000D-0000-FFFF-FFFF00000000}"/>
  </bookViews>
  <sheets>
    <sheet name="Portada" sheetId="1" r:id="rId1"/>
    <sheet name="Reporte por año" sheetId="62" r:id="rId2"/>
    <sheet name="Reporte por gas y alcance" sheetId="54" r:id="rId3"/>
    <sheet name="Reporte por fuente de GEI" sheetId="25" r:id="rId4"/>
    <sheet name="Reporte por alcance" sheetId="26" r:id="rId5"/>
    <sheet name="BN Valores_2019" sheetId="53" r:id="rId6"/>
    <sheet name="Factores de emisión y PCG" sheetId="27" r:id="rId7"/>
    <sheet name="Almacén de Control de Bienes" sheetId="23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62" l="1"/>
  <c r="H25" i="62"/>
  <c r="I24" i="62" l="1"/>
  <c r="I23" i="62"/>
  <c r="N30" i="25"/>
  <c r="M30" i="25"/>
  <c r="L30" i="25"/>
  <c r="K30" i="25"/>
  <c r="N28" i="25"/>
  <c r="V40" i="53"/>
  <c r="U40" i="53"/>
  <c r="T40" i="53"/>
  <c r="F40" i="53"/>
  <c r="R40" i="53"/>
  <c r="P30" i="25" l="1"/>
  <c r="X40" i="53"/>
  <c r="J24" i="53" l="1"/>
  <c r="L41" i="53" l="1"/>
  <c r="R42" i="53" l="1"/>
  <c r="W42" i="53" s="1"/>
  <c r="X42" i="53" s="1"/>
  <c r="R19" i="53"/>
  <c r="R20" i="53"/>
  <c r="R21" i="53"/>
  <c r="R22" i="53"/>
  <c r="R16" i="53"/>
  <c r="R17" i="53"/>
  <c r="R18" i="53"/>
  <c r="U18" i="53" s="1"/>
  <c r="R23" i="53"/>
  <c r="U23" i="53" s="1"/>
  <c r="R24" i="53"/>
  <c r="V24" i="53" s="1"/>
  <c r="M25" i="25" s="1"/>
  <c r="R25" i="53"/>
  <c r="V25" i="53" s="1"/>
  <c r="M31" i="25" s="1"/>
  <c r="R26" i="53"/>
  <c r="V26" i="53" s="1"/>
  <c r="R27" i="53"/>
  <c r="T27" i="53" s="1"/>
  <c r="K32" i="25" s="1"/>
  <c r="R28" i="53"/>
  <c r="T28" i="53" s="1"/>
  <c r="U28" i="53"/>
  <c r="R29" i="53"/>
  <c r="T29" i="53" s="1"/>
  <c r="R30" i="53"/>
  <c r="T30" i="53" s="1"/>
  <c r="V30" i="53" s="1"/>
  <c r="U30" i="53"/>
  <c r="R31" i="53"/>
  <c r="W31" i="53"/>
  <c r="N26" i="25" s="1"/>
  <c r="R32" i="53"/>
  <c r="W32" i="53"/>
  <c r="X32" i="53" s="1"/>
  <c r="R33" i="53"/>
  <c r="W33" i="53" s="1"/>
  <c r="R34" i="53"/>
  <c r="W34" i="53" s="1"/>
  <c r="R35" i="53"/>
  <c r="W35" i="53" s="1"/>
  <c r="X35" i="53" s="1"/>
  <c r="R36" i="53"/>
  <c r="W36" i="53" s="1"/>
  <c r="X36" i="53" s="1"/>
  <c r="R37" i="53"/>
  <c r="W37" i="53" s="1"/>
  <c r="X37" i="53" s="1"/>
  <c r="R38" i="53"/>
  <c r="T38" i="53" s="1"/>
  <c r="R39" i="53"/>
  <c r="T39" i="53" s="1"/>
  <c r="R41" i="53"/>
  <c r="T41" i="53" s="1"/>
  <c r="R43" i="53"/>
  <c r="T43" i="53" s="1"/>
  <c r="R44" i="53"/>
  <c r="T44" i="53" s="1"/>
  <c r="R45" i="53"/>
  <c r="T45" i="53" s="1"/>
  <c r="X45" i="53" s="1"/>
  <c r="R46" i="53"/>
  <c r="U46" i="53" s="1"/>
  <c r="L38" i="25"/>
  <c r="M38" i="25"/>
  <c r="N38" i="25"/>
  <c r="N36" i="25"/>
  <c r="M36" i="25"/>
  <c r="L36" i="25"/>
  <c r="N35" i="25"/>
  <c r="M35" i="25"/>
  <c r="L35" i="25"/>
  <c r="K35" i="25"/>
  <c r="M34" i="25"/>
  <c r="L34" i="25"/>
  <c r="K34" i="25"/>
  <c r="N33" i="25"/>
  <c r="N32" i="25"/>
  <c r="N31" i="25"/>
  <c r="N29" i="25"/>
  <c r="M29" i="25"/>
  <c r="L29" i="25"/>
  <c r="M28" i="25"/>
  <c r="L28" i="25"/>
  <c r="N27" i="25"/>
  <c r="M27" i="25"/>
  <c r="L27" i="25"/>
  <c r="K26" i="25"/>
  <c r="L26" i="25"/>
  <c r="M26" i="25"/>
  <c r="L10" i="53"/>
  <c r="K10" i="53"/>
  <c r="R30" i="23"/>
  <c r="R31" i="23"/>
  <c r="S30" i="23"/>
  <c r="U30" i="23" s="1"/>
  <c r="R32" i="23"/>
  <c r="U32" i="23" s="1"/>
  <c r="X32" i="23" s="1"/>
  <c r="R37" i="23"/>
  <c r="T37" i="23"/>
  <c r="R38" i="23"/>
  <c r="T38" i="23" s="1"/>
  <c r="R39" i="23"/>
  <c r="T39" i="23"/>
  <c r="U39" i="23"/>
  <c r="V39" i="23"/>
  <c r="R40" i="23"/>
  <c r="V40" i="23" s="1"/>
  <c r="T40" i="23"/>
  <c r="U40" i="23"/>
  <c r="R41" i="23"/>
  <c r="U41" i="23" s="1"/>
  <c r="T41" i="23"/>
  <c r="V41" i="23"/>
  <c r="R42" i="23"/>
  <c r="V42" i="23"/>
  <c r="R43" i="23"/>
  <c r="U43" i="23" s="1"/>
  <c r="T43" i="23"/>
  <c r="V43" i="23"/>
  <c r="R44" i="23"/>
  <c r="T44" i="23"/>
  <c r="V44" i="23" s="1"/>
  <c r="X44" i="23" s="1"/>
  <c r="U44" i="23"/>
  <c r="R45" i="23"/>
  <c r="W45" i="23" s="1"/>
  <c r="R46" i="23"/>
  <c r="W46" i="23"/>
  <c r="X46" i="23" s="1"/>
  <c r="R47" i="23"/>
  <c r="W47" i="23"/>
  <c r="X47" i="23" s="1"/>
  <c r="R48" i="23"/>
  <c r="W48" i="23" s="1"/>
  <c r="X48" i="23" s="1"/>
  <c r="R49" i="23"/>
  <c r="W49" i="23"/>
  <c r="X49" i="23" s="1"/>
  <c r="R50" i="23"/>
  <c r="W50" i="23"/>
  <c r="X50" i="23" s="1"/>
  <c r="R51" i="23"/>
  <c r="W51" i="23"/>
  <c r="X51" i="23" s="1"/>
  <c r="R52" i="23"/>
  <c r="T52" i="23" s="1"/>
  <c r="X52" i="23" s="1"/>
  <c r="R53" i="23"/>
  <c r="T53" i="23"/>
  <c r="X53" i="23" s="1"/>
  <c r="R54" i="23"/>
  <c r="T54" i="23"/>
  <c r="X54" i="23" s="1"/>
  <c r="R55" i="23"/>
  <c r="T55" i="23" s="1"/>
  <c r="X55" i="23" s="1"/>
  <c r="R56" i="23"/>
  <c r="T56" i="23" s="1"/>
  <c r="X56" i="23" s="1"/>
  <c r="R57" i="23"/>
  <c r="T57" i="23"/>
  <c r="X57" i="23" s="1"/>
  <c r="R33" i="23"/>
  <c r="S33" i="23" s="1"/>
  <c r="T33" i="23" s="1"/>
  <c r="R34" i="23"/>
  <c r="R35" i="23"/>
  <c r="R36" i="23"/>
  <c r="R58" i="23"/>
  <c r="U58" i="23"/>
  <c r="X58" i="23" s="1"/>
  <c r="K11" i="23"/>
  <c r="L11" i="23"/>
  <c r="M11" i="23"/>
  <c r="L16" i="23"/>
  <c r="P35" i="25" l="1"/>
  <c r="P26" i="25"/>
  <c r="K27" i="25"/>
  <c r="P27" i="25" s="1"/>
  <c r="X39" i="23"/>
  <c r="S16" i="53"/>
  <c r="U16" i="53" s="1"/>
  <c r="X16" i="53" s="1"/>
  <c r="U24" i="53"/>
  <c r="L25" i="25" s="1"/>
  <c r="T24" i="53"/>
  <c r="T23" i="53"/>
  <c r="K24" i="25" s="1"/>
  <c r="X43" i="53"/>
  <c r="X34" i="53"/>
  <c r="X33" i="53"/>
  <c r="N34" i="25"/>
  <c r="P34" i="25" s="1"/>
  <c r="X39" i="53"/>
  <c r="K29" i="25"/>
  <c r="P29" i="25" s="1"/>
  <c r="K28" i="25"/>
  <c r="P28" i="25" s="1"/>
  <c r="X38" i="53"/>
  <c r="X18" i="53"/>
  <c r="X44" i="53"/>
  <c r="X31" i="53"/>
  <c r="V28" i="53"/>
  <c r="V23" i="53"/>
  <c r="M24" i="25" s="1"/>
  <c r="U27" i="53"/>
  <c r="L32" i="25" s="1"/>
  <c r="X45" i="23"/>
  <c r="J8" i="23"/>
  <c r="J11" i="23" s="1"/>
  <c r="X41" i="23"/>
  <c r="X41" i="53"/>
  <c r="K36" i="25"/>
  <c r="P36" i="25" s="1"/>
  <c r="M33" i="25"/>
  <c r="X33" i="23"/>
  <c r="G9" i="23"/>
  <c r="X30" i="23"/>
  <c r="U25" i="53"/>
  <c r="L31" i="25" s="1"/>
  <c r="L24" i="25"/>
  <c r="V27" i="53"/>
  <c r="M32" i="25" s="1"/>
  <c r="T25" i="53"/>
  <c r="X43" i="23"/>
  <c r="U29" i="53"/>
  <c r="V29" i="53"/>
  <c r="U37" i="23"/>
  <c r="X37" i="23" s="1"/>
  <c r="V37" i="23"/>
  <c r="X40" i="23"/>
  <c r="V38" i="23"/>
  <c r="J7" i="53"/>
  <c r="J10" i="53" s="1"/>
  <c r="X46" i="53"/>
  <c r="X30" i="53"/>
  <c r="I5" i="54"/>
  <c r="I8" i="54" s="1"/>
  <c r="T42" i="23"/>
  <c r="G8" i="23" s="1"/>
  <c r="G11" i="23" s="1"/>
  <c r="U42" i="23"/>
  <c r="U38" i="23"/>
  <c r="X38" i="23" s="1"/>
  <c r="T26" i="53"/>
  <c r="U26" i="53"/>
  <c r="L33" i="25" s="1"/>
  <c r="S19" i="53"/>
  <c r="T19" i="53" s="1"/>
  <c r="P32" i="25" l="1"/>
  <c r="P24" i="25"/>
  <c r="H8" i="23"/>
  <c r="H11" i="23" s="1"/>
  <c r="X28" i="53"/>
  <c r="G5" i="54"/>
  <c r="G8" i="54" s="1"/>
  <c r="X24" i="53"/>
  <c r="K25" i="25"/>
  <c r="P25" i="25" s="1"/>
  <c r="F5" i="54"/>
  <c r="X23" i="53"/>
  <c r="X29" i="53"/>
  <c r="X27" i="53"/>
  <c r="I8" i="23"/>
  <c r="I11" i="23" s="1"/>
  <c r="N9" i="23"/>
  <c r="Y33" i="23"/>
  <c r="Y30" i="23"/>
  <c r="I7" i="53"/>
  <c r="I10" i="53" s="1"/>
  <c r="H7" i="53"/>
  <c r="H10" i="53" s="1"/>
  <c r="H5" i="54"/>
  <c r="H8" i="54" s="1"/>
  <c r="X25" i="53"/>
  <c r="G7" i="53"/>
  <c r="K31" i="25"/>
  <c r="P31" i="25" s="1"/>
  <c r="X19" i="53"/>
  <c r="F6" i="54"/>
  <c r="G8" i="53"/>
  <c r="K38" i="25"/>
  <c r="P38" i="25" s="1"/>
  <c r="X26" i="53"/>
  <c r="K33" i="25"/>
  <c r="P33" i="25" s="1"/>
  <c r="X42" i="23"/>
  <c r="N8" i="23" s="1"/>
  <c r="Y16" i="53"/>
  <c r="P41" i="25" l="1"/>
  <c r="Q38" i="25" s="1"/>
  <c r="M7" i="53"/>
  <c r="H23" i="26" s="1"/>
  <c r="G10" i="53"/>
  <c r="F8" i="54"/>
  <c r="M16" i="23"/>
  <c r="N11" i="23"/>
  <c r="M8" i="53"/>
  <c r="I23" i="26" s="1"/>
  <c r="Y19" i="53"/>
  <c r="J6" i="54"/>
  <c r="J5" i="54"/>
  <c r="Q33" i="25" l="1"/>
  <c r="Q31" i="25"/>
  <c r="Q25" i="25"/>
  <c r="Q30" i="25"/>
  <c r="Q35" i="25"/>
  <c r="Q28" i="25"/>
  <c r="Q36" i="25"/>
  <c r="Q32" i="25"/>
  <c r="Q27" i="25"/>
  <c r="Q34" i="25"/>
  <c r="Q29" i="25"/>
  <c r="Q26" i="25"/>
  <c r="Q24" i="25"/>
  <c r="M10" i="53"/>
  <c r="J8" i="54"/>
  <c r="J23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Nathaly</author>
    <author>Nathaly Fuentes Jiménez</author>
    <author>karla</author>
  </authors>
  <commentList>
    <comment ref="C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Alcantarillado sanitario</t>
        </r>
      </text>
    </comment>
    <comment ref="C1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No aplica</t>
        </r>
      </text>
    </comment>
    <comment ref="C1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No aplica</t>
        </r>
      </text>
    </comment>
    <comment ref="C2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No cuentan con vehículos de diésel.</t>
        </r>
      </text>
    </comment>
    <comment ref="C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No aplica</t>
        </r>
      </text>
    </comment>
    <comment ref="C2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BN Fondos ya contabilizó esta fuente como suya (comparten la planta).</t>
        </r>
      </text>
    </comment>
    <comment ref="C2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No hay sistema contra incendios.</t>
        </r>
      </text>
    </comment>
    <comment ref="C2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No aplica.</t>
        </r>
      </text>
    </comment>
    <comment ref="E30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No aplica.</t>
        </r>
      </text>
    </comment>
    <comment ref="C31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No aplica. Es una motocicleta.</t>
        </r>
      </text>
    </comment>
    <comment ref="C3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No se han realizado recargas.</t>
        </r>
      </text>
    </comment>
    <comment ref="C3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No aplica.</t>
        </r>
      </text>
    </comment>
    <comment ref="C35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No aplica.</t>
        </r>
      </text>
    </comment>
    <comment ref="C36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No aplica.</t>
        </r>
      </text>
    </comment>
    <comment ref="C37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No aplica.</t>
        </r>
      </text>
    </comment>
    <comment ref="C39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No aplica.</t>
        </r>
      </text>
    </comment>
    <comment ref="T40" authorId="1" shapeId="0" xr:uid="{78F14F12-51D4-4390-911F-BA0D0E1DF440}">
      <text>
        <r>
          <rPr>
            <sz val="9"/>
            <color rgb="FF000000"/>
            <rFont val="Tahoma"/>
            <family val="2"/>
          </rPr>
          <t xml:space="preserve">Utilizando densidad del aceite Stihl 886 kg/m3
</t>
        </r>
        <r>
          <rPr>
            <sz val="9"/>
            <color rgb="FF000000"/>
            <rFont val="Tahoma"/>
            <family val="2"/>
          </rPr>
          <t>Valor calórico: 40,2 (TJ/Gg)</t>
        </r>
      </text>
    </comment>
    <comment ref="C43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No aplica.</t>
        </r>
      </text>
    </comment>
    <comment ref="C44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No aplica</t>
        </r>
      </text>
    </comment>
    <comment ref="C45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No aplica</t>
        </r>
      </text>
    </comment>
    <comment ref="C46" authorId="2" shapeId="0" xr:uid="{00000000-0006-0000-0500-000014000000}">
      <text>
        <r>
          <rPr>
            <b/>
            <sz val="9"/>
            <color indexed="81"/>
            <rFont val="Tahoma"/>
            <family val="2"/>
          </rPr>
          <t>Se empezó a pesar a partir de junio 2017.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Vega Botto</author>
  </authors>
  <commentList>
    <comment ref="K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Adriana Vega Botto:</t>
        </r>
        <r>
          <rPr>
            <sz val="9"/>
            <color indexed="81"/>
            <rFont val="Tahoma"/>
            <family val="2"/>
          </rPr>
          <t xml:space="preserve">
IPCC 2014. Horizonte a 100 años.</t>
        </r>
      </text>
    </comment>
    <comment ref="C1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Adriana Vega Botto:</t>
        </r>
        <r>
          <rPr>
            <sz val="9"/>
            <color indexed="81"/>
            <rFont val="Tahoma"/>
            <family val="2"/>
          </rPr>
          <t xml:space="preserve">
Ver sección 5.3.1.5 del Manual para la declaración de la carbono neutralidad.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Nathaly</author>
  </authors>
  <commentList>
    <comment ref="C5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No hay información</t>
        </r>
      </text>
    </comment>
  </commentList>
</comments>
</file>

<file path=xl/sharedStrings.xml><?xml version="1.0" encoding="utf-8"?>
<sst xmlns="http://schemas.openxmlformats.org/spreadsheetml/2006/main" count="413" uniqueCount="195">
  <si>
    <t>Línea Base</t>
  </si>
  <si>
    <t>(t)</t>
  </si>
  <si>
    <t>Alcance 1</t>
  </si>
  <si>
    <t>-</t>
  </si>
  <si>
    <t>Alcance 2</t>
  </si>
  <si>
    <t xml:space="preserve">Total </t>
  </si>
  <si>
    <t xml:space="preserve">Cuantificación de emisiones de gases de efecto invernadero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</si>
  <si>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</si>
  <si>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</si>
  <si>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</si>
  <si>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</si>
  <si>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</si>
  <si>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</si>
  <si>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</si>
  <si>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</si>
  <si>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</si>
  <si>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</si>
  <si>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</si>
  <si>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</si>
  <si>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Trabajadores reportados en planilla </t>
  </si>
  <si>
    <t>IMN</t>
  </si>
  <si>
    <t>mg de DQO</t>
  </si>
  <si>
    <t>R22</t>
  </si>
  <si>
    <t>Consumo de electricidad (KWH)</t>
  </si>
  <si>
    <t xml:space="preserve">ID Servicio </t>
  </si>
  <si>
    <t>R410A</t>
  </si>
  <si>
    <t>R407c</t>
  </si>
  <si>
    <t xml:space="preserve">R404a </t>
  </si>
  <si>
    <t xml:space="preserve">Acetileno </t>
  </si>
  <si>
    <t>Kilometros recorridos de vehículos colaboradores (Diesel)</t>
  </si>
  <si>
    <t xml:space="preserve">Litros de diesel de la planta de emergencia </t>
  </si>
  <si>
    <t xml:space="preserve">Litros de diesel del sistema contra incendios </t>
  </si>
  <si>
    <t xml:space="preserve">Kg gas refrigerante en vehículos </t>
  </si>
  <si>
    <t xml:space="preserve">Cantidad de litros de lubricantes en plantas de emergencia </t>
  </si>
  <si>
    <t>Recarga de extintores (kg)</t>
  </si>
  <si>
    <t xml:space="preserve">Litros de aceite dieléctrico de procesos </t>
  </si>
  <si>
    <t>Año 2017</t>
  </si>
  <si>
    <t xml:space="preserve">HFC R134a </t>
  </si>
  <si>
    <t>R141b</t>
  </si>
  <si>
    <t>Descarga a ríos</t>
  </si>
  <si>
    <t xml:space="preserve">Fuente </t>
  </si>
  <si>
    <t xml:space="preserve">Dato de actividad </t>
  </si>
  <si>
    <t xml:space="preserve">Aguas residuales tipo domésticas </t>
  </si>
  <si>
    <t>Electricidad en instalaciones</t>
  </si>
  <si>
    <t xml:space="preserve">Gasolina en BN  flota </t>
  </si>
  <si>
    <t xml:space="preserve">Gasolina en vehículos colaboradores </t>
  </si>
  <si>
    <t xml:space="preserve">Kilometros recorridos de vehículos colaboradores </t>
  </si>
  <si>
    <t xml:space="preserve">Diésel en BN flota </t>
  </si>
  <si>
    <t xml:space="preserve">Diésel en vehículos colaboradores </t>
  </si>
  <si>
    <t xml:space="preserve">Diésel en planta de emergencia </t>
  </si>
  <si>
    <t xml:space="preserve">Diésel en sistemas contra incendios </t>
  </si>
  <si>
    <t xml:space="preserve">Lubricantes en BN flota </t>
  </si>
  <si>
    <t xml:space="preserve">Lubricantes en planta de emergencia </t>
  </si>
  <si>
    <t xml:space="preserve">Aceite dieléctrico en procesos </t>
  </si>
  <si>
    <t xml:space="preserve">Fuga de gas refrigerante 134a en BN Flota </t>
  </si>
  <si>
    <t xml:space="preserve">Fugas de refrigerantes R134a dispensadores y refrigeradores </t>
  </si>
  <si>
    <t>Fugas de refrigerante R410 a/c</t>
  </si>
  <si>
    <t>Fuga de refrigerante R22 a/c</t>
  </si>
  <si>
    <t xml:space="preserve">Fugas de refrigerante R134a/c </t>
  </si>
  <si>
    <t xml:space="preserve">Fugas de refrigerante R404a/c </t>
  </si>
  <si>
    <t>Almacén de Control de Bienes</t>
  </si>
  <si>
    <t xml:space="preserve">GLP en sodas y comedores </t>
  </si>
  <si>
    <t>Litros de diesel en vehículos de BN flota</t>
  </si>
  <si>
    <t>Litros de gasolina en vehículos de BN flota</t>
  </si>
  <si>
    <t>Cantidad de visitantes</t>
  </si>
  <si>
    <t>Kg gas R22 en aires acondicionados</t>
  </si>
  <si>
    <t>Cantidad de litros de lubricantes en vehículos de BN flota</t>
  </si>
  <si>
    <t>Pérdida de CO2 durante mantenimiento de extintores</t>
  </si>
  <si>
    <t>Acetileno en actividades de mantenimiento</t>
  </si>
  <si>
    <t>Kg de acetileno</t>
  </si>
  <si>
    <t xml:space="preserve">Fuga de gas refrigerante propelente en mantenimiento </t>
  </si>
  <si>
    <t>HFCs</t>
  </si>
  <si>
    <t>PFCs</t>
  </si>
  <si>
    <t xml:space="preserve">GLP en montacargas </t>
  </si>
  <si>
    <t>Litros de GLP</t>
  </si>
  <si>
    <t xml:space="preserve">Cálculo estequiométrico </t>
  </si>
  <si>
    <r>
      <t>Toneladas de 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>e</t>
    </r>
  </si>
  <si>
    <t xml:space="preserve">Fugas de refrigerante R141b a/c </t>
  </si>
  <si>
    <t>Generación Electricidad Diesel</t>
  </si>
  <si>
    <t>Tanques sépticos</t>
  </si>
  <si>
    <t>Uso de lubricantes</t>
  </si>
  <si>
    <t>Unidades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</si>
  <si>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/L combustible</t>
    </r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</si>
  <si>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e/kWh</t>
    </r>
  </si>
  <si>
    <r>
      <t>g 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/L combustible</t>
    </r>
  </si>
  <si>
    <t>g CH4/persona/año</t>
  </si>
  <si>
    <r>
      <t>g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O/L combustible</t>
    </r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</si>
  <si>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/L de lubricante</t>
    </r>
  </si>
  <si>
    <t>Gasolina transporte terrestre</t>
  </si>
  <si>
    <t>Diesel comercial e institucional</t>
  </si>
  <si>
    <t>Gasolina comercial e institucional</t>
  </si>
  <si>
    <t>LPG transporte terrestre</t>
  </si>
  <si>
    <t>NA</t>
  </si>
  <si>
    <t>Alcance 3</t>
  </si>
  <si>
    <t>GLP comercial e institucional</t>
  </si>
  <si>
    <t xml:space="preserve">Alcance 3 </t>
  </si>
  <si>
    <t>EMISIONES DEL AÑO DE REPORTE</t>
  </si>
  <si>
    <r>
      <t>CO</t>
    </r>
    <r>
      <rPr>
        <b/>
        <vertAlign val="subscript"/>
        <sz val="11"/>
        <color theme="0"/>
        <rFont val="Calibri"/>
        <family val="2"/>
        <scheme val="minor"/>
      </rPr>
      <t>2</t>
    </r>
  </si>
  <si>
    <r>
      <t>CH</t>
    </r>
    <r>
      <rPr>
        <b/>
        <vertAlign val="subscript"/>
        <sz val="11"/>
        <color theme="0"/>
        <rFont val="Calibri"/>
        <family val="2"/>
        <scheme val="minor"/>
      </rPr>
      <t>4</t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</si>
  <si>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</si>
  <si>
    <r>
      <t>SF</t>
    </r>
    <r>
      <rPr>
        <b/>
        <vertAlign val="subscript"/>
        <sz val="11"/>
        <color theme="0"/>
        <rFont val="Calibri"/>
        <family val="2"/>
        <scheme val="minor"/>
      </rPr>
      <t>6</t>
    </r>
  </si>
  <si>
    <r>
      <t>NF</t>
    </r>
    <r>
      <rPr>
        <b/>
        <vertAlign val="subscript"/>
        <sz val="11"/>
        <color theme="0"/>
        <rFont val="Calibri"/>
        <family val="2"/>
        <scheme val="minor"/>
      </rPr>
      <t>3</t>
    </r>
  </si>
  <si>
    <t xml:space="preserve">Kg gas refrigerante R134a en dispensadores y refrigeradores </t>
  </si>
  <si>
    <t xml:space="preserve">Kg gas  R134a en aires acondicionados </t>
  </si>
  <si>
    <t xml:space="preserve">Kg gas R404 en aires acondicionados </t>
  </si>
  <si>
    <t xml:space="preserve">Kg gas R410a en aires acondicionados </t>
  </si>
  <si>
    <t xml:space="preserve">Kg gas R141b en aires acondicionados </t>
  </si>
  <si>
    <t>Fuente de emisión</t>
  </si>
  <si>
    <t>Descripción de la fuente</t>
  </si>
  <si>
    <t>Gasolina/Kilometraje</t>
  </si>
  <si>
    <t>Consumo de gasolina en vehículos colaboradores</t>
  </si>
  <si>
    <t>Gas propelente</t>
  </si>
  <si>
    <t>Consumo de gas propelente en mantenimiento de equipo eléctrico y electrónico</t>
  </si>
  <si>
    <t>Consumo de lubricantes en BN flota</t>
  </si>
  <si>
    <t>Consumo de lubricantes en Plantas de emergencia</t>
  </si>
  <si>
    <t>Consumo de diésel en BN flota</t>
  </si>
  <si>
    <t>Consumo de diésel en plantas de emergencia</t>
  </si>
  <si>
    <t>Diésel/Kilometraje</t>
  </si>
  <si>
    <t>Consumo de diésel en vehículos colaboradores</t>
  </si>
  <si>
    <t>R-22</t>
  </si>
  <si>
    <t>Pérdidas de R22 en aires acondicionados</t>
  </si>
  <si>
    <t>R410a</t>
  </si>
  <si>
    <t>Pérdidas de R410 en aires acondicionados</t>
  </si>
  <si>
    <t>Pérdida por recarga de extintores</t>
  </si>
  <si>
    <t>Electricidad</t>
  </si>
  <si>
    <t>Consumo de energía eléctrica</t>
  </si>
  <si>
    <t>Factores de Emisión y PCG usados</t>
  </si>
  <si>
    <r>
      <t>CH</t>
    </r>
    <r>
      <rPr>
        <b/>
        <vertAlign val="subscript"/>
        <sz val="11"/>
        <color theme="0"/>
        <rFont val="Calibri"/>
        <family val="2"/>
        <scheme val="minor"/>
      </rPr>
      <t>4</t>
    </r>
    <r>
      <rPr>
        <b/>
        <sz val="11"/>
        <color theme="0"/>
        <rFont val="Calibri"/>
        <family val="2"/>
        <scheme val="minor"/>
      </rPr>
      <t xml:space="preserve"> </t>
    </r>
  </si>
  <si>
    <t>Factores de emisión</t>
  </si>
  <si>
    <t>Fuentes de emisión</t>
  </si>
  <si>
    <t>Potenciales de Calentamiento Global</t>
  </si>
  <si>
    <t>TOTAL</t>
  </si>
  <si>
    <t>GEI</t>
  </si>
  <si>
    <t>Refrigerantes</t>
  </si>
  <si>
    <r>
      <t>TOTAL 
(t 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e)</t>
    </r>
  </si>
  <si>
    <r>
      <t>TOTAL
(t 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e)</t>
    </r>
  </si>
  <si>
    <r>
      <t>CO</t>
    </r>
    <r>
      <rPr>
        <b/>
        <vertAlign val="subscript"/>
        <sz val="11"/>
        <color rgb="FFFFFFFF"/>
        <rFont val="Calibri"/>
        <family val="2"/>
        <scheme val="minor"/>
      </rPr>
      <t xml:space="preserve">2 </t>
    </r>
    <r>
      <rPr>
        <b/>
        <sz val="11"/>
        <color rgb="FFFFFFFF"/>
        <rFont val="Calibri"/>
        <family val="2"/>
        <scheme val="minor"/>
      </rPr>
      <t xml:space="preserve">
(tCO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 xml:space="preserve">e) 
</t>
    </r>
  </si>
  <si>
    <r>
      <t>N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>O (tCO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 xml:space="preserve">e) </t>
    </r>
  </si>
  <si>
    <r>
      <t>HFC´s (tCO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>e )</t>
    </r>
  </si>
  <si>
    <r>
      <t>CH</t>
    </r>
    <r>
      <rPr>
        <b/>
        <vertAlign val="subscript"/>
        <sz val="11"/>
        <color rgb="FFFFFFFF"/>
        <rFont val="Calibri"/>
        <family val="2"/>
        <scheme val="minor"/>
      </rPr>
      <t xml:space="preserve">4 </t>
    </r>
    <r>
      <rPr>
        <b/>
        <sz val="11"/>
        <color rgb="FFFFFFFF"/>
        <rFont val="Calibri"/>
        <family val="2"/>
        <scheme val="minor"/>
      </rPr>
      <t xml:space="preserve">
(tCO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 xml:space="preserve">e) </t>
    </r>
  </si>
  <si>
    <r>
      <t>CO</t>
    </r>
    <r>
      <rPr>
        <b/>
        <vertAlign val="subscript"/>
        <sz val="11"/>
        <color rgb="FFFFFFFF"/>
        <rFont val="Calibri"/>
        <family val="2"/>
        <scheme val="minor"/>
      </rPr>
      <t xml:space="preserve">2 </t>
    </r>
    <r>
      <rPr>
        <b/>
        <sz val="11"/>
        <color rgb="FFFFFFFF"/>
        <rFont val="Calibri"/>
        <family val="2"/>
        <scheme val="minor"/>
      </rPr>
      <t xml:space="preserve">
(tCO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 xml:space="preserve">e) </t>
    </r>
  </si>
  <si>
    <t xml:space="preserve">Litros de gasolina en vehículos colaboradores </t>
  </si>
  <si>
    <t>Litros de diésel en vehículos colaboradores (Diesel)</t>
  </si>
  <si>
    <t>Electricidad 2017</t>
  </si>
  <si>
    <t xml:space="preserve">Diésel transporte terrestre </t>
  </si>
  <si>
    <t xml:space="preserve">Residuos sólidos </t>
  </si>
  <si>
    <t xml:space="preserve">Kg de residuos sólidos </t>
  </si>
  <si>
    <t>Residuos sólidos</t>
  </si>
  <si>
    <r>
      <t>g 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/kg residuo</t>
    </r>
  </si>
  <si>
    <t>kg de gas propelente</t>
  </si>
  <si>
    <t>Año de reporte</t>
  </si>
  <si>
    <r>
      <t>Emisiones (t CO</t>
    </r>
    <r>
      <rPr>
        <b/>
        <vertAlign val="subscript"/>
        <sz val="12"/>
        <color rgb="FFFFFFFF"/>
        <rFont val="Calibri"/>
        <family val="2"/>
        <scheme val="minor"/>
      </rPr>
      <t>2</t>
    </r>
    <r>
      <rPr>
        <b/>
        <sz val="12"/>
        <color rgb="FFFFFFFF"/>
        <rFont val="Calibri"/>
        <family val="2"/>
        <scheme val="minor"/>
      </rPr>
      <t>e)</t>
    </r>
  </si>
  <si>
    <r>
      <t>Total
 (t 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e)</t>
    </r>
  </si>
  <si>
    <t xml:space="preserve">Emisiones de GEI </t>
  </si>
  <si>
    <r>
      <t>CO</t>
    </r>
    <r>
      <rPr>
        <b/>
        <vertAlign val="subscript"/>
        <sz val="11"/>
        <color theme="0"/>
        <rFont val="Calibri"/>
        <family val="2"/>
        <scheme val="minor"/>
      </rPr>
      <t xml:space="preserve">2 </t>
    </r>
    <r>
      <rPr>
        <b/>
        <sz val="11"/>
        <color theme="0"/>
        <rFont val="Calibri"/>
        <family val="2"/>
        <scheme val="minor"/>
      </rPr>
      <t>(t)</t>
    </r>
  </si>
  <si>
    <r>
      <t>CH</t>
    </r>
    <r>
      <rPr>
        <b/>
        <vertAlign val="subscript"/>
        <sz val="11"/>
        <color theme="0"/>
        <rFont val="Calibri"/>
        <family val="2"/>
        <scheme val="minor"/>
      </rPr>
      <t xml:space="preserve">4 </t>
    </r>
    <r>
      <rPr>
        <b/>
        <sz val="11"/>
        <color theme="0"/>
        <rFont val="Calibri"/>
        <family val="2"/>
        <scheme val="minor"/>
      </rPr>
      <t>(t)</t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</si>
  <si>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 (t)</t>
    </r>
  </si>
  <si>
    <t xml:space="preserve">Fugas de refrigerante R407a/c </t>
  </si>
  <si>
    <t xml:space="preserve">Kg gas R407 en aires acondicionados </t>
  </si>
  <si>
    <t>HCFCs (t)</t>
  </si>
  <si>
    <t>HCFC</t>
  </si>
  <si>
    <t>HFC</t>
  </si>
  <si>
    <t>HFC (t)</t>
  </si>
  <si>
    <t>HFC 227</t>
  </si>
  <si>
    <t>Recargas de extintores de Data Center</t>
  </si>
  <si>
    <t xml:space="preserve">   Reporte de emisiones anuales
 de gases de efecto invernadero 
BN VALORES</t>
  </si>
  <si>
    <r>
      <t>TOTAL 2019
(t 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e)</t>
    </r>
  </si>
  <si>
    <t>Reporte de emisiones de gases de efecto invernadero 
BN VALORES</t>
  </si>
  <si>
    <t>Fugas de Inergem GAS</t>
  </si>
  <si>
    <t>Electricidad 2019</t>
  </si>
  <si>
    <t xml:space="preserve">Gasolina en  flota </t>
  </si>
  <si>
    <t>Litros de gasolina en vehículos de flota</t>
  </si>
  <si>
    <t>Litros de diesel en vehículos de  flota</t>
  </si>
  <si>
    <t xml:space="preserve">Diésel en flota </t>
  </si>
  <si>
    <t>Litros de lubricantes para mezcla</t>
  </si>
  <si>
    <t>Lubricantes que se queman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</si>
  <si>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/TJ</t>
    </r>
  </si>
  <si>
    <r>
      <t>ton 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/L</t>
    </r>
  </si>
  <si>
    <r>
      <t>ton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O/L</t>
    </r>
  </si>
  <si>
    <t>Halotrón</t>
  </si>
  <si>
    <t>IPCC II Informe</t>
  </si>
  <si>
    <t>BN Valores 2019</t>
  </si>
  <si>
    <t>Consumo de gasolina en flota</t>
  </si>
  <si>
    <t>Consumo de gas refrigerante en flota</t>
  </si>
  <si>
    <t>Gasolina flota</t>
  </si>
  <si>
    <t>Refrigerante flota</t>
  </si>
  <si>
    <t>Lubricantes flota</t>
  </si>
  <si>
    <t>Lubricantes planta</t>
  </si>
  <si>
    <t>Diésel flota</t>
  </si>
  <si>
    <t>Diésel planta</t>
  </si>
  <si>
    <t>Extintores CO2</t>
  </si>
  <si>
    <t>Consumo lubricante para mezcla</t>
  </si>
  <si>
    <t>%</t>
  </si>
  <si>
    <t>Reporte de emisiones anuales de gases de efecto invernadero por fuente para BN Valores
año 2019</t>
  </si>
  <si>
    <t>EMISIONES 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</si>
</sst>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(&quot;₡&quot;* #,##0.00_);_(&quot;₡&quot;* \(#,##0.00\);_(&quot;₡&quot;* &quot;-&quot;??_);_(@_)"/>
    <numFmt numFmtId="166" formatCode="_(* #,##0.00_);_(* \(#,##0.00\);_(* &quot;-&quot;??_);_(@_)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4"/>
      <color theme="4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24"/>
      <color theme="4" tint="-0.499984740745262"/>
      <name val="Cambria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bscript"/>
      <sz val="11"/>
      <color rgb="FFFFFFFF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22"/>
      <color theme="4" tint="-0.499984740745262"/>
      <name val="Cambria"/>
      <family val="1"/>
    </font>
    <font>
      <b/>
      <i/>
      <sz val="20"/>
      <color theme="4" tint="-0.499984740745262"/>
      <name val="Cambria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2"/>
      <color rgb="FFFFFFFF"/>
      <name val="Calibri"/>
      <family val="2"/>
      <scheme val="minor"/>
    </font>
    <font>
      <b/>
      <vertAlign val="subscript"/>
      <sz val="12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rgb="FF000000"/>
      <name val="Tahoma"/>
      <family val="2"/>
    </font>
    <font>
      <b/>
      <i/>
      <sz val="16"/>
      <color theme="4" tint="-0.499984740745262"/>
      <name val="Cambria"/>
      <family val="1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33D8D"/>
        <bgColor indexed="64"/>
      </patternFill>
    </fill>
    <fill>
      <patternFill patternType="solid">
        <fgColor rgb="FFE5EC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E9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203864"/>
        <bgColor indexed="64"/>
      </patternFill>
    </fill>
    <fill>
      <patternFill patternType="solid">
        <fgColor rgb="FFD9D9D9"/>
        <bgColor indexed="64"/>
      </patternFill>
    </fill>
  </fills>
  <borders count="10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8" tint="-0.249977111117893"/>
      </left>
      <right style="thin">
        <color theme="0"/>
      </right>
      <top style="medium">
        <color theme="8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8" tint="-0.249977111117893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8" tint="-0.249977111117893"/>
      </right>
      <top style="thin">
        <color theme="0"/>
      </top>
      <bottom style="thin">
        <color theme="0"/>
      </bottom>
      <diagonal/>
    </border>
    <border>
      <left style="medium">
        <color theme="8" tint="-0.249977111117893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medium">
        <color theme="8" tint="-0.249977111117893"/>
      </right>
      <top style="thin">
        <color theme="0"/>
      </top>
      <bottom style="thin">
        <color theme="0"/>
      </bottom>
      <diagonal/>
    </border>
    <border>
      <left style="medium">
        <color theme="8" tint="-0.249977111117893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thin">
        <color theme="2" tint="-9.9978637043366805E-2"/>
      </left>
      <right style="medium">
        <color theme="8" tint="-0.24997711111789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8" tint="-0.249977111117893"/>
      </right>
      <top style="thin">
        <color theme="2" tint="-9.9978637043366805E-2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 style="thin">
        <color theme="0"/>
      </right>
      <top style="medium">
        <color theme="8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8" tint="-0.249977111117893"/>
      </top>
      <bottom style="thin">
        <color theme="0"/>
      </bottom>
      <diagonal/>
    </border>
    <border>
      <left style="thin">
        <color theme="0"/>
      </left>
      <right style="medium">
        <color theme="8" tint="-0.249977111117893"/>
      </right>
      <top style="medium">
        <color theme="8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8" tint="-0.249977111117893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8" tint="-0.249977111117893"/>
      </right>
      <top/>
      <bottom style="thin">
        <color theme="0"/>
      </bottom>
      <diagonal/>
    </border>
    <border>
      <left style="medium">
        <color theme="8" tint="-0.249977111117893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8" tint="-0.249977111117893"/>
      </left>
      <right/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/>
      <diagonal/>
    </border>
    <border>
      <left/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0"/>
      </right>
      <top/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/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medium">
        <color theme="8" tint="-0.24994659260841701"/>
      </left>
      <right/>
      <top style="thin">
        <color theme="0"/>
      </top>
      <bottom/>
      <diagonal/>
    </border>
    <border>
      <left style="medium">
        <color theme="8" tint="-0.24994659260841701"/>
      </left>
      <right style="thin">
        <color theme="2" tint="-9.9978637043366805E-2"/>
      </right>
      <top/>
      <bottom style="medium">
        <color theme="8" tint="-0.2499465926084170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theme="8" tint="-0.24994659260841701"/>
      </bottom>
      <diagonal/>
    </border>
    <border>
      <left style="thin">
        <color theme="2" tint="-9.9978637043366805E-2"/>
      </left>
      <right style="medium">
        <color theme="8" tint="-0.249977111117893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2" tint="-9.9978637043366805E-2"/>
      </right>
      <top style="thin">
        <color theme="2" tint="-9.9978637043366805E-2"/>
      </top>
      <bottom style="thin">
        <color theme="0" tint="-0.149967955565050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0" tint="-0.14996795556505021"/>
      </bottom>
      <diagonal/>
    </border>
    <border>
      <left style="thin">
        <color theme="2" tint="-9.9978637043366805E-2"/>
      </left>
      <right style="medium">
        <color theme="8" tint="-0.249977111117893"/>
      </right>
      <top style="thin">
        <color theme="2" tint="-9.9978637043366805E-2"/>
      </top>
      <bottom style="thin">
        <color theme="0" tint="-0.14996795556505021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 style="thin">
        <color theme="0"/>
      </right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 style="thin">
        <color theme="0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thin">
        <color theme="0"/>
      </bottom>
      <diagonal/>
    </border>
    <border>
      <left/>
      <right style="thin">
        <color theme="0"/>
      </right>
      <top style="medium">
        <color theme="8" tint="-0.249977111117893"/>
      </top>
      <bottom style="thin">
        <color theme="0"/>
      </bottom>
      <diagonal/>
    </border>
    <border>
      <left/>
      <right style="medium">
        <color theme="8" tint="-0.249977111117893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8" tint="-0.249977111117893"/>
      </left>
      <right/>
      <top style="thin">
        <color theme="0"/>
      </top>
      <bottom style="medium">
        <color theme="8" tint="-0.249977111117893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77111117893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0.24994659260841701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7">
    <xf numFmtId="0" fontId="0" fillId="0" borderId="0"/>
    <xf numFmtId="0" fontId="22" fillId="0" borderId="0" applyAlignment="0"/>
    <xf numFmtId="0" fontId="5" fillId="0" borderId="0"/>
    <xf numFmtId="0" fontId="28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7">
    <xf numFmtId="0" fontId="0" fillId="0" borderId="0" xfId="0"/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2" fontId="0" fillId="0" borderId="0" xfId="0" applyNumberFormat="1"/>
    <xf numFmtId="0" fontId="14" fillId="0" borderId="0" xfId="0" applyFont="1" applyAlignment="1">
      <alignment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2" fillId="7" borderId="52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3" borderId="6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7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wrapText="1"/>
    </xf>
    <xf numFmtId="49" fontId="8" fillId="3" borderId="1" xfId="0" applyNumberFormat="1" applyFont="1" applyFill="1" applyBorder="1" applyAlignment="1">
      <alignment horizontal="right" vertical="center" wrapText="1"/>
    </xf>
    <xf numFmtId="49" fontId="8" fillId="3" borderId="13" xfId="0" applyNumberFormat="1" applyFont="1" applyFill="1" applyBorder="1" applyAlignment="1">
      <alignment horizontal="right" vertical="center" wrapText="1"/>
    </xf>
    <xf numFmtId="2" fontId="8" fillId="5" borderId="34" xfId="0" applyNumberFormat="1" applyFont="1" applyFill="1" applyBorder="1" applyAlignment="1">
      <alignment horizontal="center" vertical="center"/>
    </xf>
    <xf numFmtId="2" fontId="8" fillId="5" borderId="29" xfId="0" applyNumberFormat="1" applyFont="1" applyFill="1" applyBorder="1" applyAlignment="1">
      <alignment horizontal="center" vertical="center"/>
    </xf>
    <xf numFmtId="2" fontId="8" fillId="5" borderId="35" xfId="0" applyNumberFormat="1" applyFont="1" applyFill="1" applyBorder="1" applyAlignment="1">
      <alignment horizontal="center" vertical="center"/>
    </xf>
    <xf numFmtId="2" fontId="8" fillId="8" borderId="8" xfId="0" applyNumberFormat="1" applyFont="1" applyFill="1" applyBorder="1" applyAlignment="1">
      <alignment horizontal="center" vertical="center"/>
    </xf>
    <xf numFmtId="2" fontId="13" fillId="8" borderId="41" xfId="0" applyNumberFormat="1" applyFont="1" applyFill="1" applyBorder="1" applyAlignment="1">
      <alignment horizontal="center" vertical="center"/>
    </xf>
    <xf numFmtId="2" fontId="8" fillId="8" borderId="1" xfId="0" applyNumberFormat="1" applyFont="1" applyFill="1" applyBorder="1" applyAlignment="1">
      <alignment horizontal="center" vertical="center"/>
    </xf>
    <xf numFmtId="2" fontId="8" fillId="8" borderId="23" xfId="0" applyNumberFormat="1" applyFont="1" applyFill="1" applyBorder="1" applyAlignment="1">
      <alignment horizontal="center" vertical="center"/>
    </xf>
    <xf numFmtId="2" fontId="13" fillId="8" borderId="13" xfId="0" applyNumberFormat="1" applyFont="1" applyFill="1" applyBorder="1" applyAlignment="1">
      <alignment horizontal="center" vertical="center"/>
    </xf>
    <xf numFmtId="2" fontId="8" fillId="8" borderId="4" xfId="0" applyNumberFormat="1" applyFont="1" applyFill="1" applyBorder="1" applyAlignment="1">
      <alignment horizontal="center" vertical="center"/>
    </xf>
    <xf numFmtId="2" fontId="8" fillId="8" borderId="9" xfId="0" applyNumberFormat="1" applyFont="1" applyFill="1" applyBorder="1" applyAlignment="1">
      <alignment horizontal="center" vertical="center"/>
    </xf>
    <xf numFmtId="2" fontId="8" fillId="8" borderId="46" xfId="0" applyNumberFormat="1" applyFont="1" applyFill="1" applyBorder="1" applyAlignment="1">
      <alignment horizontal="center" vertical="center"/>
    </xf>
    <xf numFmtId="2" fontId="15" fillId="0" borderId="0" xfId="0" applyNumberFormat="1" applyFont="1"/>
    <xf numFmtId="0" fontId="11" fillId="0" borderId="0" xfId="0" applyFont="1" applyAlignment="1">
      <alignment horizontal="center" vertical="center" wrapText="1"/>
    </xf>
    <xf numFmtId="2" fontId="8" fillId="8" borderId="40" xfId="0" applyNumberFormat="1" applyFont="1" applyFill="1" applyBorder="1" applyAlignment="1">
      <alignment horizontal="center" vertical="center"/>
    </xf>
    <xf numFmtId="2" fontId="8" fillId="8" borderId="47" xfId="0" applyNumberFormat="1" applyFont="1" applyFill="1" applyBorder="1" applyAlignment="1">
      <alignment horizontal="center" vertical="center"/>
    </xf>
    <xf numFmtId="2" fontId="8" fillId="8" borderId="25" xfId="0" applyNumberFormat="1" applyFont="1" applyFill="1" applyBorder="1" applyAlignment="1">
      <alignment horizontal="center" vertical="center"/>
    </xf>
    <xf numFmtId="2" fontId="8" fillId="10" borderId="2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23" fillId="0" borderId="0" xfId="0" applyFont="1" applyAlignment="1">
      <alignment horizontal="center" vertical="center" wrapText="1"/>
    </xf>
    <xf numFmtId="0" fontId="15" fillId="7" borderId="6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9" borderId="64" xfId="0" applyFont="1" applyFill="1" applyBorder="1" applyAlignment="1">
      <alignment horizontal="center" vertical="center" wrapText="1"/>
    </xf>
    <xf numFmtId="0" fontId="8" fillId="9" borderId="64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7" fillId="0" borderId="64" xfId="0" applyFont="1" applyBorder="1" applyAlignment="1">
      <alignment horizontal="center" vertical="center"/>
    </xf>
    <xf numFmtId="0" fontId="8" fillId="9" borderId="73" xfId="0" applyFont="1" applyFill="1" applyBorder="1" applyAlignment="1">
      <alignment horizontal="center" vertical="center"/>
    </xf>
    <xf numFmtId="0" fontId="15" fillId="7" borderId="64" xfId="0" applyFont="1" applyFill="1" applyBorder="1" applyAlignment="1">
      <alignment horizontal="center" vertical="center" wrapText="1"/>
    </xf>
    <xf numFmtId="0" fontId="7" fillId="9" borderId="64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2" fontId="8" fillId="10" borderId="29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5" fillId="7" borderId="69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left" vertical="center" wrapText="1"/>
    </xf>
    <xf numFmtId="2" fontId="8" fillId="4" borderId="75" xfId="0" applyNumberFormat="1" applyFont="1" applyFill="1" applyBorder="1" applyAlignment="1">
      <alignment horizontal="center" vertical="center"/>
    </xf>
    <xf numFmtId="2" fontId="8" fillId="4" borderId="76" xfId="0" applyNumberFormat="1" applyFont="1" applyFill="1" applyBorder="1" applyAlignment="1">
      <alignment horizontal="center" vertical="center"/>
    </xf>
    <xf numFmtId="2" fontId="8" fillId="4" borderId="77" xfId="0" applyNumberFormat="1" applyFont="1" applyFill="1" applyBorder="1" applyAlignment="1">
      <alignment horizontal="center" vertical="center"/>
    </xf>
    <xf numFmtId="2" fontId="8" fillId="4" borderId="78" xfId="0" applyNumberFormat="1" applyFont="1" applyFill="1" applyBorder="1" applyAlignment="1">
      <alignment horizontal="center" vertical="center"/>
    </xf>
    <xf numFmtId="2" fontId="8" fillId="4" borderId="79" xfId="0" applyNumberFormat="1" applyFont="1" applyFill="1" applyBorder="1" applyAlignment="1">
      <alignment horizontal="center" vertical="center"/>
    </xf>
    <xf numFmtId="2" fontId="8" fillId="4" borderId="80" xfId="0" applyNumberFormat="1" applyFont="1" applyFill="1" applyBorder="1" applyAlignment="1">
      <alignment horizontal="center" vertical="center"/>
    </xf>
    <xf numFmtId="0" fontId="6" fillId="9" borderId="64" xfId="0" applyFont="1" applyFill="1" applyBorder="1" applyAlignment="1">
      <alignment horizontal="center" vertical="center" wrapText="1"/>
    </xf>
    <xf numFmtId="2" fontId="6" fillId="8" borderId="82" xfId="0" applyNumberFormat="1" applyFont="1" applyFill="1" applyBorder="1" applyAlignment="1">
      <alignment horizontal="center" vertical="center"/>
    </xf>
    <xf numFmtId="2" fontId="6" fillId="8" borderId="83" xfId="0" applyNumberFormat="1" applyFont="1" applyFill="1" applyBorder="1" applyAlignment="1">
      <alignment horizontal="center" vertical="center"/>
    </xf>
    <xf numFmtId="2" fontId="13" fillId="8" borderId="84" xfId="0" applyNumberFormat="1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left" vertical="center" wrapText="1"/>
    </xf>
    <xf numFmtId="2" fontId="8" fillId="8" borderId="25" xfId="0" applyNumberFormat="1" applyFont="1" applyFill="1" applyBorder="1" applyAlignment="1">
      <alignment horizontal="center" vertical="center"/>
    </xf>
    <xf numFmtId="2" fontId="8" fillId="8" borderId="82" xfId="0" applyNumberFormat="1" applyFont="1" applyFill="1" applyBorder="1" applyAlignment="1">
      <alignment horizontal="center" vertical="center"/>
    </xf>
    <xf numFmtId="2" fontId="8" fillId="8" borderId="4" xfId="0" applyNumberFormat="1" applyFont="1" applyFill="1" applyBorder="1" applyAlignment="1">
      <alignment horizontal="center" vertical="center"/>
    </xf>
    <xf numFmtId="2" fontId="8" fillId="8" borderId="40" xfId="0" applyNumberFormat="1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21" fillId="0" borderId="64" xfId="0" applyNumberFormat="1" applyFont="1" applyBorder="1" applyAlignment="1">
      <alignment horizontal="center" vertical="center" wrapText="1"/>
    </xf>
    <xf numFmtId="2" fontId="13" fillId="10" borderId="23" xfId="0" applyNumberFormat="1" applyFont="1" applyFill="1" applyBorder="1" applyAlignment="1">
      <alignment horizontal="center" vertical="center"/>
    </xf>
    <xf numFmtId="2" fontId="13" fillId="10" borderId="29" xfId="0" applyNumberFormat="1" applyFont="1" applyFill="1" applyBorder="1" applyAlignment="1">
      <alignment horizontal="center" vertical="center"/>
    </xf>
    <xf numFmtId="2" fontId="27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2" fontId="8" fillId="8" borderId="4" xfId="0" applyNumberFormat="1" applyFont="1" applyFill="1" applyBorder="1" applyAlignment="1">
      <alignment horizontal="center" vertical="center"/>
    </xf>
    <xf numFmtId="2" fontId="26" fillId="4" borderId="6" xfId="0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/>
    </xf>
    <xf numFmtId="2" fontId="4" fillId="4" borderId="31" xfId="0" applyNumberFormat="1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4" borderId="80" xfId="0" applyNumberFormat="1" applyFont="1" applyFill="1" applyBorder="1" applyAlignment="1">
      <alignment horizontal="center" vertical="center"/>
    </xf>
    <xf numFmtId="2" fontId="4" fillId="4" borderId="75" xfId="0" applyNumberFormat="1" applyFont="1" applyFill="1" applyBorder="1" applyAlignment="1">
      <alignment horizontal="center" vertical="center"/>
    </xf>
    <xf numFmtId="2" fontId="4" fillId="4" borderId="76" xfId="0" applyNumberFormat="1" applyFont="1" applyFill="1" applyBorder="1" applyAlignment="1">
      <alignment horizontal="center" vertical="center"/>
    </xf>
    <xf numFmtId="2" fontId="4" fillId="4" borderId="77" xfId="0" applyNumberFormat="1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2" fontId="25" fillId="0" borderId="50" xfId="0" applyNumberFormat="1" applyFont="1" applyBorder="1" applyAlignment="1">
      <alignment horizontal="center" vertical="center"/>
    </xf>
    <xf numFmtId="164" fontId="21" fillId="11" borderId="64" xfId="0" applyNumberFormat="1" applyFont="1" applyFill="1" applyBorder="1" applyAlignment="1">
      <alignment horizontal="center" vertical="center" wrapText="1"/>
    </xf>
    <xf numFmtId="164" fontId="21" fillId="13" borderId="64" xfId="0" applyNumberFormat="1" applyFont="1" applyFill="1" applyBorder="1" applyAlignment="1">
      <alignment horizontal="center" vertical="center" wrapText="1"/>
    </xf>
    <xf numFmtId="2" fontId="15" fillId="12" borderId="64" xfId="0" applyNumberFormat="1" applyFont="1" applyFill="1" applyBorder="1" applyAlignment="1">
      <alignment horizontal="center" vertical="center" wrapText="1"/>
    </xf>
    <xf numFmtId="2" fontId="32" fillId="0" borderId="50" xfId="0" applyNumberFormat="1" applyFont="1" applyBorder="1" applyAlignment="1">
      <alignment horizontal="center" vertical="center"/>
    </xf>
    <xf numFmtId="0" fontId="33" fillId="7" borderId="50" xfId="0" applyFont="1" applyFill="1" applyBorder="1" applyAlignment="1">
      <alignment horizontal="center" vertical="center" wrapText="1"/>
    </xf>
    <xf numFmtId="2" fontId="3" fillId="5" borderId="23" xfId="0" applyNumberFormat="1" applyFont="1" applyFill="1" applyBorder="1" applyAlignment="1">
      <alignment horizontal="center" vertical="center"/>
    </xf>
    <xf numFmtId="2" fontId="3" fillId="5" borderId="29" xfId="0" applyNumberFormat="1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left" vertical="center" wrapText="1"/>
    </xf>
    <xf numFmtId="0" fontId="3" fillId="9" borderId="6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wrapText="1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3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2" fontId="8" fillId="8" borderId="8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7" xfId="0" applyFont="1" applyFill="1" applyBorder="1" applyAlignment="1">
      <alignment horizontal="left" vertical="center" wrapText="1"/>
    </xf>
    <xf numFmtId="2" fontId="8" fillId="8" borderId="25" xfId="0" applyNumberFormat="1" applyFont="1" applyFill="1" applyBorder="1" applyAlignment="1">
      <alignment horizontal="center" vertical="center"/>
    </xf>
    <xf numFmtId="2" fontId="8" fillId="8" borderId="47" xfId="0" applyNumberFormat="1" applyFont="1" applyFill="1" applyBorder="1" applyAlignment="1">
      <alignment horizontal="center" vertical="center"/>
    </xf>
    <xf numFmtId="2" fontId="8" fillId="8" borderId="40" xfId="0" applyNumberFormat="1" applyFont="1" applyFill="1" applyBorder="1" applyAlignment="1">
      <alignment horizontal="center" vertical="center"/>
    </xf>
    <xf numFmtId="2" fontId="13" fillId="8" borderId="41" xfId="0" applyNumberFormat="1" applyFont="1" applyFill="1" applyBorder="1" applyAlignment="1">
      <alignment horizontal="center" vertical="center"/>
    </xf>
    <xf numFmtId="164" fontId="13" fillId="8" borderId="1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2" fontId="8" fillId="8" borderId="25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2" fontId="4" fillId="4" borderId="9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164" fontId="21" fillId="0" borderId="64" xfId="0" applyNumberFormat="1" applyFont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2" fontId="8" fillId="8" borderId="25" xfId="0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0" fontId="12" fillId="7" borderId="49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5" fillId="7" borderId="48" xfId="0" applyFont="1" applyFill="1" applyBorder="1" applyAlignment="1">
      <alignment horizontal="center" vertical="center" wrapText="1"/>
    </xf>
    <xf numFmtId="0" fontId="15" fillId="7" borderId="49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47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164" fontId="31" fillId="9" borderId="65" xfId="0" applyNumberFormat="1" applyFont="1" applyFill="1" applyBorder="1" applyAlignment="1">
      <alignment horizontal="center" vertical="center" wrapText="1"/>
    </xf>
    <xf numFmtId="164" fontId="31" fillId="9" borderId="70" xfId="0" applyNumberFormat="1" applyFont="1" applyFill="1" applyBorder="1" applyAlignment="1">
      <alignment horizontal="center" vertical="center" wrapText="1"/>
    </xf>
    <xf numFmtId="164" fontId="31" fillId="9" borderId="66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 readingOrder="1"/>
    </xf>
    <xf numFmtId="0" fontId="21" fillId="6" borderId="27" xfId="0" applyFont="1" applyFill="1" applyBorder="1" applyAlignment="1">
      <alignment horizontal="center" vertical="center" wrapText="1" readingOrder="1"/>
    </xf>
    <xf numFmtId="0" fontId="21" fillId="6" borderId="28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top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12" fillId="7" borderId="53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0" fontId="12" fillId="7" borderId="92" xfId="0" applyFont="1" applyFill="1" applyBorder="1" applyAlignment="1">
      <alignment horizontal="center" vertical="center" wrapText="1"/>
    </xf>
    <xf numFmtId="0" fontId="10" fillId="7" borderId="90" xfId="0" applyFont="1" applyFill="1" applyBorder="1" applyAlignment="1">
      <alignment horizontal="center" vertical="center" wrapText="1"/>
    </xf>
    <xf numFmtId="0" fontId="10" fillId="7" borderId="91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left" vertical="center" wrapText="1"/>
    </xf>
    <xf numFmtId="0" fontId="8" fillId="3" borderId="58" xfId="0" applyFont="1" applyFill="1" applyBorder="1" applyAlignment="1">
      <alignment horizontal="left" vertical="center" wrapText="1"/>
    </xf>
    <xf numFmtId="0" fontId="8" fillId="3" borderId="59" xfId="0" applyFont="1" applyFill="1" applyBorder="1" applyAlignment="1">
      <alignment horizontal="left" vertical="center" wrapText="1"/>
    </xf>
    <xf numFmtId="2" fontId="8" fillId="8" borderId="40" xfId="0" applyNumberFormat="1" applyFont="1" applyFill="1" applyBorder="1" applyAlignment="1">
      <alignment horizontal="center" vertical="center"/>
    </xf>
    <xf numFmtId="2" fontId="8" fillId="8" borderId="44" xfId="0" applyNumberFormat="1" applyFont="1" applyFill="1" applyBorder="1" applyAlignment="1">
      <alignment horizontal="center" vertical="center"/>
    </xf>
    <xf numFmtId="2" fontId="8" fillId="8" borderId="51" xfId="0" applyNumberFormat="1" applyFont="1" applyFill="1" applyBorder="1" applyAlignment="1">
      <alignment horizontal="center" vertical="center"/>
    </xf>
    <xf numFmtId="2" fontId="8" fillId="8" borderId="25" xfId="0" applyNumberFormat="1" applyFont="1" applyFill="1" applyBorder="1" applyAlignment="1">
      <alignment horizontal="center" vertical="center"/>
    </xf>
    <xf numFmtId="2" fontId="13" fillId="8" borderId="41" xfId="0" applyNumberFormat="1" applyFont="1" applyFill="1" applyBorder="1" applyAlignment="1">
      <alignment horizontal="center" vertical="center"/>
    </xf>
    <xf numFmtId="2" fontId="13" fillId="8" borderId="45" xfId="0" applyNumberFormat="1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2" fontId="8" fillId="8" borderId="42" xfId="0" applyNumberFormat="1" applyFont="1" applyFill="1" applyBorder="1" applyAlignment="1">
      <alignment horizontal="center" vertical="center"/>
    </xf>
    <xf numFmtId="2" fontId="13" fillId="8" borderId="4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 wrapText="1"/>
    </xf>
    <xf numFmtId="2" fontId="8" fillId="8" borderId="93" xfId="0" applyNumberFormat="1" applyFont="1" applyFill="1" applyBorder="1" applyAlignment="1">
      <alignment horizontal="center" vertical="center"/>
    </xf>
    <xf numFmtId="2" fontId="8" fillId="8" borderId="94" xfId="0" applyNumberFormat="1" applyFont="1" applyFill="1" applyBorder="1" applyAlignment="1">
      <alignment horizontal="center" vertical="center"/>
    </xf>
    <xf numFmtId="2" fontId="8" fillId="8" borderId="81" xfId="0" applyNumberFormat="1" applyFont="1" applyFill="1" applyBorder="1" applyAlignment="1">
      <alignment horizontal="center" vertical="center"/>
    </xf>
    <xf numFmtId="2" fontId="8" fillId="8" borderId="82" xfId="0" applyNumberFormat="1" applyFont="1" applyFill="1" applyBorder="1" applyAlignment="1">
      <alignment horizontal="center" vertical="center"/>
    </xf>
    <xf numFmtId="2" fontId="8" fillId="8" borderId="46" xfId="0" applyNumberFormat="1" applyFont="1" applyFill="1" applyBorder="1" applyAlignment="1">
      <alignment horizontal="center" vertical="center"/>
    </xf>
    <xf numFmtId="2" fontId="8" fillId="8" borderId="47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7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2" fillId="7" borderId="55" xfId="0" applyFont="1" applyFill="1" applyBorder="1" applyAlignment="1">
      <alignment horizontal="center" vertical="center" wrapText="1"/>
    </xf>
    <xf numFmtId="0" fontId="8" fillId="3" borderId="87" xfId="0" applyFont="1" applyFill="1" applyBorder="1" applyAlignment="1">
      <alignment horizontal="left" vertical="center" wrapText="1"/>
    </xf>
    <xf numFmtId="0" fontId="8" fillId="3" borderId="88" xfId="0" applyFont="1" applyFill="1" applyBorder="1" applyAlignment="1">
      <alignment horizontal="left" vertical="center" wrapText="1"/>
    </xf>
    <xf numFmtId="0" fontId="8" fillId="3" borderId="89" xfId="0" applyFont="1" applyFill="1" applyBorder="1" applyAlignment="1">
      <alignment horizontal="left" vertical="center" wrapText="1"/>
    </xf>
    <xf numFmtId="0" fontId="1" fillId="3" borderId="60" xfId="0" applyFont="1" applyFill="1" applyBorder="1" applyAlignment="1">
      <alignment horizontal="left" vertical="center" wrapText="1"/>
    </xf>
    <xf numFmtId="2" fontId="1" fillId="4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2" fontId="1" fillId="4" borderId="31" xfId="0" applyNumberFormat="1" applyFont="1" applyFill="1" applyBorder="1" applyAlignment="1">
      <alignment horizontal="center" vertical="center"/>
    </xf>
    <xf numFmtId="2" fontId="1" fillId="8" borderId="51" xfId="0" applyNumberFormat="1" applyFont="1" applyFill="1" applyBorder="1" applyAlignment="1">
      <alignment horizontal="center" vertical="center"/>
    </xf>
    <xf numFmtId="2" fontId="1" fillId="8" borderId="2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0" fontId="1" fillId="0" borderId="0" xfId="0" applyFont="1"/>
    <xf numFmtId="2" fontId="1" fillId="0" borderId="7" xfId="0" applyNumberFormat="1" applyFont="1" applyFill="1" applyBorder="1" applyAlignment="1">
      <alignment horizontal="center" vertical="center"/>
    </xf>
    <xf numFmtId="0" fontId="31" fillId="9" borderId="96" xfId="0" applyFont="1" applyFill="1" applyBorder="1" applyAlignment="1">
      <alignment horizontal="center" vertical="center" wrapText="1"/>
    </xf>
    <xf numFmtId="0" fontId="31" fillId="9" borderId="97" xfId="0" applyFont="1" applyFill="1" applyBorder="1" applyAlignment="1">
      <alignment horizontal="center" vertical="center" wrapText="1"/>
    </xf>
    <xf numFmtId="0" fontId="31" fillId="9" borderId="98" xfId="0" applyFont="1" applyFill="1" applyBorder="1" applyAlignment="1">
      <alignment horizontal="center" vertical="center" wrapText="1"/>
    </xf>
    <xf numFmtId="0" fontId="31" fillId="9" borderId="99" xfId="0" applyFont="1" applyFill="1" applyBorder="1" applyAlignment="1">
      <alignment horizontal="center" vertical="center" wrapText="1"/>
    </xf>
    <xf numFmtId="0" fontId="26" fillId="0" borderId="0" xfId="0" applyFont="1"/>
    <xf numFmtId="0" fontId="35" fillId="0" borderId="0" xfId="0" applyFont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</cellXfs>
  <cellStyles count="7">
    <cellStyle name="Millares 2" xfId="4" xr:uid="{00000000-0005-0000-0000-000000000000}"/>
    <cellStyle name="Moneda 2" xfId="5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3" xfId="2" xr:uid="{00000000-0005-0000-0000-000005000000}"/>
    <cellStyle name="Porcentaje 2" xfId="6" xr:uid="{00000000-0005-0000-0000-000006000000}"/>
  </cellStyles>
  <dxfs count="0"/>
  <tableStyles count="0" defaultTableStyle="TableStyleMedium2" defaultPivotStyle="PivotStyleMedium7"/>
  <colors>
    <mruColors>
      <color rgb="FFE5EC8C"/>
      <color rgb="FFD9D9D9"/>
      <color rgb="FF203864"/>
      <color rgb="FFFF6969"/>
      <color rgb="FF133D8D"/>
      <color rgb="FF669900"/>
      <color rgb="FFE8EE9A"/>
      <color rgb="FF33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Emisiones de CO</a:t>
            </a:r>
            <a:r>
              <a:rPr lang="en-US" baseline="-25000"/>
              <a:t>2</a:t>
            </a:r>
            <a:r>
              <a:rPr lang="en-US"/>
              <a:t>e en</a:t>
            </a:r>
            <a:r>
              <a:rPr lang="en-US" baseline="0"/>
              <a:t> el año 2018 vs 2019</a:t>
            </a:r>
            <a:endParaRPr lang="en-US"/>
          </a:p>
        </c:rich>
      </c:tx>
      <c:layout>
        <c:manualLayout>
          <c:xMode val="edge"/>
          <c:yMode val="edge"/>
          <c:x val="0.33591301622817699"/>
          <c:y val="1.39650854536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089854376804402E-2"/>
          <c:y val="8.8431966479182E-2"/>
          <c:w val="0.91814172702533403"/>
          <c:h val="0.5577900710441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por año'!$H$22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'Reporte por año'!$G$23:$G$24</c:f>
              <c:strCache>
                <c:ptCount val="2"/>
                <c:pt idx="0">
                  <c:v>Alcance 1</c:v>
                </c:pt>
                <c:pt idx="1">
                  <c:v>Alcance 2</c:v>
                </c:pt>
              </c:strCache>
            </c:strRef>
          </c:cat>
          <c:val>
            <c:numRef>
              <c:f>'Reporte por año'!$H$23:$H$24</c:f>
              <c:numCache>
                <c:formatCode>0.00</c:formatCode>
                <c:ptCount val="2"/>
                <c:pt idx="0">
                  <c:v>5.6020000000000003</c:v>
                </c:pt>
                <c:pt idx="1">
                  <c:v>11.99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E-4C0B-BB72-6F6D1D8E1DEC}"/>
            </c:ext>
          </c:extLst>
        </c:ser>
        <c:ser>
          <c:idx val="1"/>
          <c:order val="1"/>
          <c:tx>
            <c:strRef>
              <c:f>'Reporte por año'!$I$22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'Reporte por año'!$G$23:$G$24</c:f>
              <c:strCache>
                <c:ptCount val="2"/>
                <c:pt idx="0">
                  <c:v>Alcance 1</c:v>
                </c:pt>
                <c:pt idx="1">
                  <c:v>Alcance 2</c:v>
                </c:pt>
              </c:strCache>
            </c:strRef>
          </c:cat>
          <c:val>
            <c:numRef>
              <c:f>'Reporte por año'!$I$23:$I$24</c:f>
              <c:numCache>
                <c:formatCode>0.00</c:formatCode>
                <c:ptCount val="2"/>
                <c:pt idx="0">
                  <c:v>3.9542537789758558</c:v>
                </c:pt>
                <c:pt idx="1">
                  <c:v>10.573319999999999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CE-4C0B-BB72-6F6D1D8E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08576"/>
        <c:axId val="132014848"/>
      </c:barChart>
      <c:catAx>
        <c:axId val="13200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BN Valores</a:t>
                </a:r>
                <a:r>
                  <a:rPr lang="en-US" sz="1800" baseline="0"/>
                  <a:t> </a:t>
                </a:r>
                <a:endParaRPr lang="en-US" sz="18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600" b="1"/>
            </a:pPr>
            <a:endParaRPr lang="es-CR"/>
          </a:p>
        </c:txPr>
        <c:crossAx val="132014848"/>
        <c:crosses val="autoZero"/>
        <c:auto val="1"/>
        <c:lblAlgn val="ctr"/>
        <c:lblOffset val="100"/>
        <c:noMultiLvlLbl val="1"/>
      </c:catAx>
      <c:valAx>
        <c:axId val="132014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 lang="en-US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Emisión anual (t CO2e)</a:t>
                </a:r>
              </a:p>
            </c:rich>
          </c:tx>
          <c:layout>
            <c:manualLayout>
              <c:xMode val="edge"/>
              <c:yMode val="edge"/>
              <c:x val="4.1978008020046196E-3"/>
              <c:y val="0.1830144871788270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3200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6174163494465842"/>
          <c:y val="0.20192175703500342"/>
          <c:w val="0.109366292767677"/>
          <c:h val="0.18834006999036901"/>
        </c:manualLayout>
      </c:layout>
      <c:overlay val="0"/>
      <c:txPr>
        <a:bodyPr rot="0" vert="horz"/>
        <a:lstStyle/>
        <a:p>
          <a:pPr>
            <a:defRPr sz="1400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Huella de carbono de</a:t>
            </a:r>
            <a:r>
              <a:rPr lang="en-US" baseline="0"/>
              <a:t> BN Valores </a:t>
            </a:r>
            <a:r>
              <a:rPr lang="en-US"/>
              <a:t>según alcance, año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1C-4420-B8D7-8E70F4FF347D}"/>
              </c:ext>
            </c:extLst>
          </c:dPt>
          <c:dPt>
            <c:idx val="1"/>
            <c:bubble3D val="0"/>
            <c:spPr>
              <a:solidFill>
                <a:srgbClr val="6699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1C-4420-B8D7-8E70F4FF34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gas y alcance'!$D$5:$E$6</c:f>
              <c:strCache>
                <c:ptCount val="2"/>
                <c:pt idx="0">
                  <c:v>Alcance 1</c:v>
                </c:pt>
                <c:pt idx="1">
                  <c:v>Alcance 2</c:v>
                </c:pt>
              </c:strCache>
            </c:strRef>
          </c:cat>
          <c:val>
            <c:numRef>
              <c:f>'Reporte por gas y alcance'!$J$5:$J$6</c:f>
              <c:numCache>
                <c:formatCode>0.00</c:formatCode>
                <c:ptCount val="2"/>
                <c:pt idx="0">
                  <c:v>3.9542537789758563</c:v>
                </c:pt>
                <c:pt idx="1">
                  <c:v>10.573319999999999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1C-4420-B8D7-8E70F4FF347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s-C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D9D9D9"/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 sz="1100"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CR" sz="132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32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Huella de carbono de BN Valores según GEI, año 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569678056125899"/>
          <c:y val="0.196856760713815"/>
          <c:w val="0.40382274738936602"/>
          <c:h val="0.75172634878244604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7737992271042013E-2"/>
                  <c:y val="6.165951987691146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FC-46B7-8C03-70CD3931C38E}"/>
                </c:ext>
              </c:extLst>
            </c:dLbl>
            <c:dLbl>
              <c:idx val="2"/>
              <c:layout>
                <c:manualLayout>
                  <c:x val="-1.9244181261343996E-3"/>
                  <c:y val="-3.92045777871579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FC-46B7-8C03-70CD3931C38E}"/>
                </c:ext>
              </c:extLst>
            </c:dLbl>
            <c:dLbl>
              <c:idx val="3"/>
              <c:layout>
                <c:manualLayout>
                  <c:x val="3.9315261876329936E-2"/>
                  <c:y val="-1.28098372865777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FC-46B7-8C03-70CD3931C38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('Reporte por gas y alcance'!$F$4,'Reporte por gas y alcance'!$G$4,'Reporte por gas y alcance'!$H$4,'Reporte por gas y alcance'!$I$4)</c:f>
              <c:strCache>
                <c:ptCount val="4"/>
                <c:pt idx="0">
                  <c:v>CO2 (t)</c:v>
                </c:pt>
                <c:pt idx="1">
                  <c:v>CH4 (t)</c:v>
                </c:pt>
                <c:pt idx="2">
                  <c:v>N2O (t)</c:v>
                </c:pt>
                <c:pt idx="3">
                  <c:v>HCFCs (t)</c:v>
                </c:pt>
              </c:strCache>
            </c:strRef>
          </c:cat>
          <c:val>
            <c:numRef>
              <c:f>('Reporte por gas y alcance'!$F$8,'Reporte por gas y alcance'!$G$8,'Reporte por gas y alcance'!$H$8,'Reporte por gas y alcance'!$I$8)</c:f>
              <c:numCache>
                <c:formatCode>0.00</c:formatCode>
                <c:ptCount val="4"/>
                <c:pt idx="0">
                  <c:v>14.389388171031635</c:v>
                </c:pt>
                <c:pt idx="1">
                  <c:v>2.4975651319309098E-2</c:v>
                </c:pt>
                <c:pt idx="2">
                  <c:v>0.1132099566249109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F-4F6C-96CD-D79FFAB16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1419936351471"/>
          <c:y val="0.329151647070341"/>
          <c:w val="0.19575374186396979"/>
          <c:h val="0.49234782698308399"/>
        </c:manualLayout>
      </c:layout>
      <c:overlay val="0"/>
      <c:txPr>
        <a:bodyPr/>
        <a:lstStyle/>
        <a:p>
          <a:pPr rtl="0">
            <a:defRPr sz="1200"/>
          </a:pPr>
          <a:endParaRPr lang="es-CR"/>
        </a:p>
      </c:txPr>
    </c:legend>
    <c:plotVisOnly val="1"/>
    <c:dispBlanksAs val="gap"/>
    <c:showDLblsOverMax val="0"/>
  </c:chart>
  <c:spPr>
    <a:ln>
      <a:solidFill>
        <a:srgbClr val="D9D9D9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('Reporte por fuente de GEI'!$I$24:$I$36,'Reporte por fuente de GEI'!$I$38)</c:f>
              <c:strCache>
                <c:ptCount val="14"/>
                <c:pt idx="0">
                  <c:v>Gasolina flota</c:v>
                </c:pt>
                <c:pt idx="1">
                  <c:v>Gasolina/Kilometraje</c:v>
                </c:pt>
                <c:pt idx="2">
                  <c:v>Refrigerante flota</c:v>
                </c:pt>
                <c:pt idx="3">
                  <c:v>Gas propelente</c:v>
                </c:pt>
                <c:pt idx="4">
                  <c:v>Lubricantes flota</c:v>
                </c:pt>
                <c:pt idx="5">
                  <c:v>Lubricantes planta</c:v>
                </c:pt>
                <c:pt idx="6">
                  <c:v>Lubricantes que se queman</c:v>
                </c:pt>
                <c:pt idx="7">
                  <c:v>Diésel flota</c:v>
                </c:pt>
                <c:pt idx="8">
                  <c:v>Diésel planta</c:v>
                </c:pt>
                <c:pt idx="9">
                  <c:v>Diésel/Kilometraje</c:v>
                </c:pt>
                <c:pt idx="10">
                  <c:v>R-22</c:v>
                </c:pt>
                <c:pt idx="11">
                  <c:v>R410a</c:v>
                </c:pt>
                <c:pt idx="12">
                  <c:v>Extintores CO2</c:v>
                </c:pt>
                <c:pt idx="13">
                  <c:v>Electricidad</c:v>
                </c:pt>
              </c:strCache>
            </c:strRef>
          </c:cat>
          <c:val>
            <c:numRef>
              <c:f>('Reporte por fuente de GEI'!$P$24:$P$36,'Reporte por fuente de GEI'!$P$38)</c:f>
              <c:numCache>
                <c:formatCode>0.00</c:formatCode>
                <c:ptCount val="14"/>
                <c:pt idx="0">
                  <c:v>2.9160696236021995</c:v>
                </c:pt>
                <c:pt idx="1">
                  <c:v>3.0816151363636361E-2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3.0895022660000004E-2</c:v>
                </c:pt>
                <c:pt idx="6">
                  <c:v>3.4934577467999994E-2</c:v>
                </c:pt>
                <c:pt idx="7">
                  <c:v>0</c:v>
                </c:pt>
                <c:pt idx="8">
                  <c:v>0.87403840388202003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6.7500000000000004E-2</c:v>
                </c:pt>
                <c:pt idx="13">
                  <c:v>10.573319999999999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'Reporte por fuente de GEI'!#REF!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8D-43B0-BBA8-A37889AE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047232"/>
        <c:axId val="132048768"/>
        <c:axId val="0"/>
      </c:bar3DChart>
      <c:catAx>
        <c:axId val="13204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s-CR"/>
          </a:p>
        </c:txPr>
        <c:crossAx val="132048768"/>
        <c:crosses val="autoZero"/>
        <c:auto val="1"/>
        <c:lblAlgn val="ctr"/>
        <c:lblOffset val="100"/>
        <c:noMultiLvlLbl val="0"/>
      </c:catAx>
      <c:valAx>
        <c:axId val="132048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Emisiones (t CO</a:t>
                </a:r>
                <a:r>
                  <a:rPr lang="en-US" sz="1400" baseline="-25000"/>
                  <a:t>2</a:t>
                </a:r>
                <a:r>
                  <a:rPr lang="en-US" sz="1400"/>
                  <a:t>e)</a:t>
                </a:r>
              </a:p>
            </c:rich>
          </c:tx>
          <c:layout>
            <c:manualLayout>
              <c:xMode val="edge"/>
              <c:yMode val="edge"/>
              <c:x val="1.2062993139149001E-2"/>
              <c:y val="0.247006791534101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s-CR"/>
          </a:p>
        </c:txPr>
        <c:crossAx val="13204723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sz="1800" b="1">
                <a:solidFill>
                  <a:sysClr val="windowText" lastClr="000000"/>
                </a:solidFill>
              </a:rPr>
              <a:t>Emisiones por fuente de GEI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21C-4180-9E93-E7BC5473AC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1C-4180-9E93-E7BC5473AC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21C-4180-9E93-E7BC5473AC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1C-4180-9E93-E7BC5473AC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21C-4180-9E93-E7BC5473AC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1C-4180-9E93-E7BC5473ACB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21C-4180-9E93-E7BC5473ACB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1C-4180-9E93-E7BC5473ACB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21C-4180-9E93-E7BC5473ACB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21C-4180-9E93-E7BC5473ACB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1C-4180-9E93-E7BC5473ACB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21C-4180-9E93-E7BC5473ACB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21C-4180-9E93-E7BC5473ACB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1C-4180-9E93-E7BC5473ACBB}"/>
              </c:ext>
            </c:extLst>
          </c:dPt>
          <c:dLbls>
            <c:dLbl>
              <c:idx val="0"/>
              <c:layout>
                <c:manualLayout>
                  <c:x val="5.4728297864306351E-2"/>
                  <c:y val="5.0934460277796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1C-4180-9E93-E7BC5473AC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C-4180-9E93-E7BC5473AC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C-4180-9E93-E7BC5473AC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1C-4180-9E93-E7BC5473AC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1C-4180-9E93-E7BC5473ACB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1C-4180-9E93-E7BC5473ACB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1C-4180-9E93-E7BC5473ACB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1C-4180-9E93-E7BC5473ACBB}"/>
                </c:ext>
              </c:extLst>
            </c:dLbl>
            <c:dLbl>
              <c:idx val="8"/>
              <c:layout>
                <c:manualLayout>
                  <c:x val="4.3288949849418648E-3"/>
                  <c:y val="-2.0500681024450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1C-4180-9E93-E7BC5473ACB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1C-4180-9E93-E7BC5473ACB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1C-4180-9E93-E7BC5473ACB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1C-4180-9E93-E7BC5473ACBB}"/>
                </c:ext>
              </c:extLst>
            </c:dLbl>
            <c:dLbl>
              <c:idx val="12"/>
              <c:layout>
                <c:manualLayout>
                  <c:x val="1.1264898675231077E-3"/>
                  <c:y val="9.882611175703940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1C-4180-9E93-E7BC5473ACBB}"/>
                </c:ext>
              </c:extLst>
            </c:dLbl>
            <c:dLbl>
              <c:idx val="13"/>
              <c:layout>
                <c:manualLayout>
                  <c:x val="-5.7581385657090617E-2"/>
                  <c:y val="-9.2228647235209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C-4180-9E93-E7BC5473AC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('Reporte por fuente de GEI'!$I$24:$I$36,'Reporte por fuente de GEI'!$I$38)</c:f>
              <c:strCache>
                <c:ptCount val="14"/>
                <c:pt idx="0">
                  <c:v>Gasolina flota</c:v>
                </c:pt>
                <c:pt idx="1">
                  <c:v>Gasolina/Kilometraje</c:v>
                </c:pt>
                <c:pt idx="2">
                  <c:v>Refrigerante flota</c:v>
                </c:pt>
                <c:pt idx="3">
                  <c:v>Gas propelente</c:v>
                </c:pt>
                <c:pt idx="4">
                  <c:v>Lubricantes flota</c:v>
                </c:pt>
                <c:pt idx="5">
                  <c:v>Lubricantes planta</c:v>
                </c:pt>
                <c:pt idx="6">
                  <c:v>Lubricantes que se queman</c:v>
                </c:pt>
                <c:pt idx="7">
                  <c:v>Diésel flota</c:v>
                </c:pt>
                <c:pt idx="8">
                  <c:v>Diésel planta</c:v>
                </c:pt>
                <c:pt idx="9">
                  <c:v>Diésel/Kilometraje</c:v>
                </c:pt>
                <c:pt idx="10">
                  <c:v>R-22</c:v>
                </c:pt>
                <c:pt idx="11">
                  <c:v>R410a</c:v>
                </c:pt>
                <c:pt idx="12">
                  <c:v>Extintores CO2</c:v>
                </c:pt>
                <c:pt idx="13">
                  <c:v>Electricidad</c:v>
                </c:pt>
              </c:strCache>
            </c:strRef>
          </c:cat>
          <c:val>
            <c:numRef>
              <c:f>('Reporte por fuente de GEI'!$Q$24:$Q$36,'Reporte por fuente de GEI'!$Q$38)</c:f>
              <c:numCache>
                <c:formatCode>0.00</c:formatCode>
                <c:ptCount val="14"/>
                <c:pt idx="0">
                  <c:v>20.072654029968191</c:v>
                </c:pt>
                <c:pt idx="1">
                  <c:v>0.2121218025286036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0.21266471008883084</c:v>
                </c:pt>
                <c:pt idx="6">
                  <c:v>0.24047083153387203</c:v>
                </c:pt>
                <c:pt idx="7">
                  <c:v>0</c:v>
                </c:pt>
                <c:pt idx="8">
                  <c:v>6.0164100157379261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0.46463367542958384</c:v>
                </c:pt>
                <c:pt idx="13">
                  <c:v>72.781044934712995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C-4180-9E93-E7BC5473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Emisiones de CO</a:t>
            </a:r>
            <a:r>
              <a:rPr lang="en-US" baseline="-25000"/>
              <a:t>2</a:t>
            </a:r>
            <a:r>
              <a:rPr lang="en-US"/>
              <a:t>e en</a:t>
            </a:r>
            <a:r>
              <a:rPr lang="en-US" baseline="0"/>
              <a:t> el año 2019</a:t>
            </a:r>
            <a:endParaRPr lang="en-US"/>
          </a:p>
        </c:rich>
      </c:tx>
      <c:layout>
        <c:manualLayout>
          <c:xMode val="edge"/>
          <c:yMode val="edge"/>
          <c:x val="0.33591301622817699"/>
          <c:y val="1.39650854536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089854376804402E-2"/>
          <c:y val="8.8431966479182E-2"/>
          <c:w val="0.91814172702533403"/>
          <c:h val="0.5577900710441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por alcance'!$H$22</c:f>
              <c:strCache>
                <c:ptCount val="1"/>
                <c:pt idx="0">
                  <c:v>Alcance 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'Reporte por alcance'!$G$23:$G$23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'Reporte por alcance'!$H$23:$H$23</c:f>
              <c:numCache>
                <c:formatCode>0.00</c:formatCode>
                <c:ptCount val="1"/>
                <c:pt idx="0">
                  <c:v>3.9542537789758558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4-45C6-AEF3-2753D9D52F33}"/>
            </c:ext>
          </c:extLst>
        </c:ser>
        <c:ser>
          <c:idx val="1"/>
          <c:order val="1"/>
          <c:tx>
            <c:strRef>
              <c:f>'Reporte por alcance'!$I$22</c:f>
              <c:strCache>
                <c:ptCount val="1"/>
                <c:pt idx="0">
                  <c:v>Alcance 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'Reporte por alcance'!$G$23:$G$23</c:f>
              <c:numCache>
                <c:formatCode>General</c:formatCode>
                <c:ptCount val="1"/>
                <c:pt idx="0">
                  <c:v>2019</c:v>
                </c:pt>
              </c:numCache>
            </c:numRef>
          </c:cat>
          <c:val>
            <c:numRef>
              <c:f>'Reporte por alcance'!$I$23:$I$23</c:f>
              <c:numCache>
                <c:formatCode>0.00</c:formatCode>
                <c:ptCount val="1"/>
                <c:pt idx="0">
                  <c:v>10.573319999999999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4-45C6-AEF3-2753D9D52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08576"/>
        <c:axId val="132014848"/>
      </c:barChart>
      <c:catAx>
        <c:axId val="13200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BN Valores</a:t>
                </a:r>
                <a:r>
                  <a:rPr lang="en-US" sz="1800" baseline="0"/>
                  <a:t> </a:t>
                </a:r>
                <a:endParaRPr lang="en-US" sz="18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600" b="1"/>
            </a:pPr>
            <a:endParaRPr lang="es-CR"/>
          </a:p>
        </c:txPr>
        <c:crossAx val="132014848"/>
        <c:crosses val="autoZero"/>
        <c:auto val="1"/>
        <c:lblAlgn val="ctr"/>
        <c:lblOffset val="100"/>
        <c:noMultiLvlLbl val="1"/>
      </c:catAx>
      <c:valAx>
        <c:axId val="132014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 lang="en-US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Emisión anual (t CO2e)</a:t>
                </a:r>
              </a:p>
            </c:rich>
          </c:tx>
          <c:layout>
            <c:manualLayout>
              <c:xMode val="edge"/>
              <c:yMode val="edge"/>
              <c:x val="4.1978008020046196E-3"/>
              <c:y val="0.1830144871788270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3200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2209405403381042"/>
          <c:y val="0.25545458460743359"/>
          <c:w val="0.109366292767677"/>
          <c:h val="0.18834006999036901"/>
        </c:manualLayout>
      </c:layout>
      <c:overlay val="0"/>
      <c:txPr>
        <a:bodyPr rot="0" vert="horz"/>
        <a:lstStyle/>
        <a:p>
          <a:pPr>
            <a:defRPr sz="1400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1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ambria" pitchFamily="18" charset="0"/>
                <a:ea typeface="+mn-ea"/>
                <a:cs typeface="+mn-cs"/>
              </a:defRPr>
            </a:pPr>
            <a:r>
              <a:rPr lang="es-CR" sz="1600" b="1" i="1">
                <a:solidFill>
                  <a:schemeClr val="accent5">
                    <a:lumMod val="50000"/>
                  </a:schemeClr>
                </a:solidFill>
                <a:latin typeface="Cambria" pitchFamily="18" charset="0"/>
              </a:rPr>
              <a:t>Emisiones</a:t>
            </a:r>
            <a:r>
              <a:rPr lang="es-CR" sz="1600" b="1" i="1" baseline="0">
                <a:solidFill>
                  <a:schemeClr val="accent5">
                    <a:lumMod val="50000"/>
                  </a:schemeClr>
                </a:solidFill>
                <a:latin typeface="Cambria" pitchFamily="18" charset="0"/>
              </a:rPr>
              <a:t> de CO</a:t>
            </a:r>
            <a:r>
              <a:rPr lang="es-CR" sz="1600" b="1" i="1" baseline="-25000">
                <a:solidFill>
                  <a:schemeClr val="accent5">
                    <a:lumMod val="50000"/>
                  </a:schemeClr>
                </a:solidFill>
                <a:latin typeface="Cambria" pitchFamily="18" charset="0"/>
              </a:rPr>
              <a:t>2</a:t>
            </a:r>
            <a:r>
              <a:rPr lang="es-CR" sz="1600" b="1" i="1" baseline="0">
                <a:solidFill>
                  <a:schemeClr val="accent5">
                    <a:lumMod val="50000"/>
                  </a:schemeClr>
                </a:solidFill>
                <a:latin typeface="Cambria" pitchFamily="18" charset="0"/>
              </a:rPr>
              <a:t> para el año 2017 según el alcance</a:t>
            </a:r>
            <a:endParaRPr lang="es-CR" sz="1600" b="1" i="1">
              <a:solidFill>
                <a:schemeClr val="accent5">
                  <a:lumMod val="50000"/>
                </a:schemeClr>
              </a:solidFill>
              <a:latin typeface="Cambria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24-40E4-AFF5-089E5240083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24-40E4-AFF5-089E5240083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24-40E4-AFF5-089E524008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'Almacén de Control de Bienes'!$C$8:$F$9</c:f>
              <c:strCache>
                <c:ptCount val="2"/>
                <c:pt idx="0">
                  <c:v>Alcance 1</c:v>
                </c:pt>
                <c:pt idx="1">
                  <c:v>Alcance 2</c:v>
                </c:pt>
              </c:strCache>
            </c:strRef>
          </c:cat>
          <c:val>
            <c:numRef>
              <c:f>'Almacén de Control de Bienes'!$N$8:$N$9</c:f>
              <c:numCache>
                <c:formatCode>0.00</c:formatCode>
                <c:ptCount val="2"/>
                <c:pt idx="0">
                  <c:v>2.5029985472344469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24-40E4-AFF5-089E5240083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solid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600" b="1" i="1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ambria" pitchFamily="18" charset="0"/>
                <a:ea typeface="+mn-ea"/>
                <a:cs typeface="+mn-cs"/>
              </a:defRPr>
            </a:pPr>
            <a:r>
              <a:rPr lang="es-CR" sz="1600" b="1" i="1">
                <a:solidFill>
                  <a:schemeClr val="accent5">
                    <a:lumMod val="50000"/>
                  </a:schemeClr>
                </a:solidFill>
                <a:latin typeface="Cambria" pitchFamily="18" charset="0"/>
              </a:rPr>
              <a:t>Comparación</a:t>
            </a:r>
            <a:r>
              <a:rPr lang="es-CR" sz="1600" b="1" i="1" baseline="0">
                <a:solidFill>
                  <a:schemeClr val="accent5">
                    <a:lumMod val="50000"/>
                  </a:schemeClr>
                </a:solidFill>
                <a:latin typeface="Cambria" pitchFamily="18" charset="0"/>
              </a:rPr>
              <a:t> de las emisiones según GEI, año 2017</a:t>
            </a:r>
            <a:endParaRPr lang="es-CR" sz="1600" b="1" i="1">
              <a:solidFill>
                <a:schemeClr val="accent5">
                  <a:lumMod val="50000"/>
                </a:schemeClr>
              </a:solidFill>
              <a:latin typeface="Cambria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51B-44AC-98E5-6C31AC51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749120"/>
        <c:axId val="149747200"/>
      </c:barChart>
      <c:valAx>
        <c:axId val="14974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Emisiones (t CO</a:t>
                </a:r>
                <a:r>
                  <a:rPr lang="en-US" sz="1400" baseline="-25000"/>
                  <a:t>2</a:t>
                </a:r>
                <a:r>
                  <a:rPr lang="en-US" sz="1400"/>
                  <a:t>e)</a:t>
                </a:r>
              </a:p>
            </c:rich>
          </c:tx>
          <c:layout>
            <c:manualLayout>
              <c:xMode val="edge"/>
              <c:yMode val="edge"/>
              <c:x val="0.42568033265726901"/>
              <c:y val="0.89374511565143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9749120"/>
        <c:crosses val="autoZero"/>
        <c:crossBetween val="between"/>
      </c:valAx>
      <c:catAx>
        <c:axId val="1497491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GEI</a:t>
                </a:r>
              </a:p>
            </c:rich>
          </c:tx>
          <c:layout>
            <c:manualLayout>
              <c:xMode val="edge"/>
              <c:yMode val="edge"/>
              <c:x val="5.8342119105206499E-3"/>
              <c:y val="0.4030068186067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49747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ortada!A1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ortada!A1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hyperlink" Target="#Portada!A1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ortada!A1"/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Portada!A1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5</xdr:row>
      <xdr:rowOff>107158</xdr:rowOff>
    </xdr:from>
    <xdr:to>
      <xdr:col>22</xdr:col>
      <xdr:colOff>464343</xdr:colOff>
      <xdr:row>42</xdr:row>
      <xdr:rowOff>83344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833437" y="1059658"/>
          <a:ext cx="12727781" cy="7024686"/>
        </a:xfrm>
        <a:prstGeom prst="rect">
          <a:avLst/>
        </a:prstGeom>
        <a:solidFill>
          <a:srgbClr val="C1CD0D"/>
        </a:solidFill>
      </xdr:spPr>
      <xdr:style>
        <a:lnRef idx="0">
          <a:scrgbClr r="0" g="0" b="0"/>
        </a:lnRef>
        <a:fillRef idx="1003">
          <a:schemeClr val="dk1"/>
        </a:fillRef>
        <a:effectRef idx="0">
          <a:scrgbClr r="0" g="0" b="0"/>
        </a:effectRef>
        <a:fontRef idx="major"/>
      </xdr:style>
      <xdr:txBody>
        <a:bodyPr rot="0" vert="horz" wrap="square" lIns="228600" tIns="45720" rIns="1371600" bIns="91440" anchor="b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CR" sz="4200">
              <a:solidFill>
                <a:srgbClr val="FFFFFF"/>
              </a:solidFill>
              <a:effectLst/>
              <a:ea typeface="Times New Roman" pitchFamily="18" charset="0"/>
              <a:cs typeface="Times New Roman" pitchFamily="18" charset="0"/>
            </a:rPr>
            <a:t>     </a:t>
          </a:r>
          <a:endParaRPr lang="es-CR" sz="1100">
            <a:effectLst/>
            <a:latin typeface="Calibri" pitchFamily="34" charset="0"/>
            <a:ea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1</xdr:col>
      <xdr:colOff>569116</xdr:colOff>
      <xdr:row>6</xdr:row>
      <xdr:rowOff>52388</xdr:rowOff>
    </xdr:from>
    <xdr:to>
      <xdr:col>5</xdr:col>
      <xdr:colOff>119061</xdr:colOff>
      <xdr:row>10</xdr:row>
      <xdr:rowOff>154782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429" y="1195388"/>
          <a:ext cx="1931195" cy="8643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14326</xdr:colOff>
      <xdr:row>22</xdr:row>
      <xdr:rowOff>35656</xdr:rowOff>
    </xdr:from>
    <xdr:to>
      <xdr:col>4</xdr:col>
      <xdr:colOff>89638</xdr:colOff>
      <xdr:row>26</xdr:row>
      <xdr:rowOff>50896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800264" y="4226656"/>
          <a:ext cx="670624" cy="777240"/>
          <a:chOff x="10217" y="9410"/>
          <a:chExt cx="1565" cy="590"/>
        </a:xfrm>
      </xdr:grpSpPr>
      <xdr:sp macro="" textlink="">
        <xdr:nvSpPr>
          <xdr:cNvPr id="5" name="AutoShape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>
          <a:xfrm>
            <a:off x="11100" y="9410"/>
            <a:ext cx="682" cy="590"/>
          </a:xfrm>
          <a:prstGeom prst="chevron">
            <a:avLst>
              <a:gd name="adj" fmla="val 60312"/>
            </a:avLst>
          </a:prstGeom>
          <a:solidFill>
            <a:srgbClr val="133D8D"/>
          </a:solidFill>
          <a:extLst>
            <a:ext uri="{91240B29-F687-4F45-9708-019B960494DF}">
              <a14:hiddenLine xmlns:a14="http://schemas.microsoft.com/office/drawing/2010/main" w="9525">
                <a:solidFill>
                  <a:srgbClr val="FFFFFF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CR"/>
          </a:p>
        </xdr:txBody>
      </xdr:sp>
      <xdr:sp macro="" textlink="">
        <xdr:nvSpPr>
          <xdr:cNvPr id="6" name="AutoShape 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>
          <a:xfrm>
            <a:off x="10659" y="9410"/>
            <a:ext cx="682" cy="590"/>
          </a:xfrm>
          <a:prstGeom prst="chevron">
            <a:avLst>
              <a:gd name="adj" fmla="val 60312"/>
            </a:avLst>
          </a:prstGeom>
          <a:solidFill>
            <a:srgbClr val="133D8D"/>
          </a:solidFill>
          <a:extLst>
            <a:ext uri="{91240B29-F687-4F45-9708-019B960494DF}">
              <a14:hiddenLine xmlns:a14="http://schemas.microsoft.com/office/drawing/2010/main" w="9525">
                <a:solidFill>
                  <a:srgbClr val="FFFFFF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CR"/>
          </a:p>
        </xdr:txBody>
      </xdr:sp>
      <xdr:sp macro="" textlink="">
        <xdr:nvSpPr>
          <xdr:cNvPr id="7" name="AutoShape 10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>
          <a:xfrm>
            <a:off x="10217" y="9410"/>
            <a:ext cx="682" cy="590"/>
          </a:xfrm>
          <a:prstGeom prst="chevron">
            <a:avLst>
              <a:gd name="adj" fmla="val 57613"/>
            </a:avLst>
          </a:prstGeom>
          <a:solidFill>
            <a:srgbClr val="133D8D"/>
          </a:solidFill>
          <a:extLst>
            <a:ext uri="{91240B29-F687-4F45-9708-019B960494DF}">
              <a14:hiddenLine xmlns:a14="http://schemas.microsoft.com/office/drawing/2010/main" w="9525">
                <a:solidFill>
                  <a:srgbClr val="FFFFFF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CR"/>
          </a:p>
        </xdr:txBody>
      </xdr:sp>
    </xdr:grpSp>
    <xdr:clientData/>
  </xdr:twoCellAnchor>
  <xdr:oneCellAnchor>
    <xdr:from>
      <xdr:col>4</xdr:col>
      <xdr:colOff>92900</xdr:colOff>
      <xdr:row>14</xdr:row>
      <xdr:rowOff>35719</xdr:rowOff>
    </xdr:from>
    <xdr:ext cx="10765600" cy="439340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74150" y="2702719"/>
          <a:ext cx="10765600" cy="4393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R" sz="3600" b="1">
              <a:solidFill>
                <a:schemeClr val="bg1"/>
              </a:solidFill>
              <a:latin typeface="+mj-lt"/>
            </a:rPr>
            <a:t>Cuantificación</a:t>
          </a:r>
          <a:r>
            <a:rPr lang="es-CR" sz="3600" b="1" baseline="0">
              <a:solidFill>
                <a:schemeClr val="bg1"/>
              </a:solidFill>
              <a:latin typeface="+mj-lt"/>
            </a:rPr>
            <a:t> de Emisiones de Gases Efecto Invernadero</a:t>
          </a:r>
        </a:p>
        <a:p>
          <a:pPr algn="ctr"/>
          <a:endParaRPr lang="es-CR" sz="3600" b="1" baseline="0">
            <a:solidFill>
              <a:schemeClr val="bg1"/>
            </a:solidFill>
            <a:latin typeface="+mj-lt"/>
          </a:endParaRPr>
        </a:p>
        <a:p>
          <a:pPr algn="ctr"/>
          <a:endParaRPr lang="es-CR" sz="36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s-CR" sz="3600" b="1" baseline="0">
              <a:solidFill>
                <a:schemeClr val="bg1"/>
              </a:solidFill>
              <a:latin typeface="+mj-lt"/>
            </a:rPr>
            <a:t>BN VALORES</a:t>
          </a:r>
        </a:p>
        <a:p>
          <a:pPr algn="ctr"/>
          <a:endParaRPr lang="es-CR" sz="3600" b="1" baseline="0">
            <a:solidFill>
              <a:schemeClr val="bg1"/>
            </a:solidFill>
            <a:latin typeface="+mj-lt"/>
          </a:endParaRPr>
        </a:p>
        <a:p>
          <a:pPr algn="ctr"/>
          <a:endParaRPr lang="es-CR" sz="36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s-CR" sz="3600" b="1" baseline="0">
              <a:solidFill>
                <a:schemeClr val="bg1"/>
              </a:solidFill>
              <a:latin typeface="+mj-lt"/>
            </a:rPr>
            <a:t>Año inventario 2019</a:t>
          </a:r>
          <a:endParaRPr lang="es-CR" sz="3600" b="1">
            <a:solidFill>
              <a:schemeClr val="bg1"/>
            </a:solidFill>
            <a:latin typeface="+mj-lt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353788</xdr:colOff>
      <xdr:row>4</xdr:row>
      <xdr:rowOff>176892</xdr:rowOff>
    </xdr:from>
    <xdr:to>
      <xdr:col>12</xdr:col>
      <xdr:colOff>557893</xdr:colOff>
      <xdr:row>18</xdr:row>
      <xdr:rowOff>299357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902F4A4-838F-4ED1-B32C-224C1289E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408213</xdr:colOff>
      <xdr:row>2</xdr:row>
      <xdr:rowOff>38439</xdr:rowOff>
    </xdr:from>
    <xdr:to>
      <xdr:col>4</xdr:col>
      <xdr:colOff>490196</xdr:colOff>
      <xdr:row>4</xdr:row>
      <xdr:rowOff>19389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AD53FD30-72D5-4089-AA7E-6EF4700A08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13" y="419439"/>
          <a:ext cx="1653608" cy="7429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279281</xdr:colOff>
      <xdr:row>2</xdr:row>
      <xdr:rowOff>3400</xdr:rowOff>
    </xdr:from>
    <xdr:to>
      <xdr:col>12</xdr:col>
      <xdr:colOff>423520</xdr:colOff>
      <xdr:row>3</xdr:row>
      <xdr:rowOff>371700</xdr:rowOff>
    </xdr:to>
    <xdr:sp macro="" textlink="">
      <xdr:nvSpPr>
        <xdr:cNvPr id="4" name="Flecha derecha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BF3470-6CE3-45D1-B39F-364CCB852924}"/>
            </a:ext>
          </a:extLst>
        </xdr:cNvPr>
        <xdr:cNvSpPr/>
      </xdr:nvSpPr>
      <xdr:spPr>
        <a:xfrm flipH="1">
          <a:off x="11871206" y="384400"/>
          <a:ext cx="1401539" cy="749300"/>
        </a:xfrm>
        <a:prstGeom prst="righ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R" sz="1800" b="1"/>
            <a:t>Regresar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878613</xdr:colOff>
      <xdr:row>8</xdr:row>
      <xdr:rowOff>157162</xdr:rowOff>
    </xdr:from>
    <xdr:to>
      <xdr:col>7</xdr:col>
      <xdr:colOff>0</xdr:colOff>
      <xdr:row>23</xdr:row>
      <xdr:rowOff>73819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885825</xdr:colOff>
      <xdr:row>1</xdr:row>
      <xdr:rowOff>247648</xdr:rowOff>
    </xdr:from>
    <xdr:to>
      <xdr:col>2</xdr:col>
      <xdr:colOff>733425</xdr:colOff>
      <xdr:row>2</xdr:row>
      <xdr:rowOff>371475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438148"/>
          <a:ext cx="1171575" cy="5048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619124</xdr:colOff>
      <xdr:row>1</xdr:row>
      <xdr:rowOff>292891</xdr:rowOff>
    </xdr:from>
    <xdr:to>
      <xdr:col>12</xdr:col>
      <xdr:colOff>419099</xdr:colOff>
      <xdr:row>2</xdr:row>
      <xdr:rowOff>554530</xdr:rowOff>
    </xdr:to>
    <xdr:sp macro="" textlink="">
      <xdr:nvSpPr>
        <xdr:cNvPr id="5" name="Flecha derecha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8362949" y="483391"/>
          <a:ext cx="1200150" cy="642639"/>
        </a:xfrm>
        <a:prstGeom prst="righ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R" sz="1600" b="1"/>
            <a:t>Regresar</a:t>
          </a:r>
        </a:p>
      </xdr:txBody>
    </xdr:sp>
    <xdr:clientData/>
  </xdr:twoCellAnchor>
  <xdr:twoCellAnchor>
    <xdr:from>
      <xdr:col>7</xdr:col>
      <xdr:colOff>45243</xdr:colOff>
      <xdr:row>8</xdr:row>
      <xdr:rowOff>157162</xdr:rowOff>
    </xdr:from>
    <xdr:to>
      <xdr:col>13</xdr:col>
      <xdr:colOff>238125</xdr:colOff>
      <xdr:row>23</xdr:row>
      <xdr:rowOff>76200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312965</xdr:colOff>
      <xdr:row>2</xdr:row>
      <xdr:rowOff>65655</xdr:rowOff>
    </xdr:from>
    <xdr:to>
      <xdr:col>4</xdr:col>
      <xdr:colOff>178935</xdr:colOff>
      <xdr:row>4</xdr:row>
      <xdr:rowOff>46605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6536" y="446655"/>
          <a:ext cx="1662113" cy="7429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20</xdr:col>
      <xdr:colOff>367392</xdr:colOff>
      <xdr:row>2</xdr:row>
      <xdr:rowOff>102052</xdr:rowOff>
    </xdr:from>
    <xdr:to>
      <xdr:col>22</xdr:col>
      <xdr:colOff>476249</xdr:colOff>
      <xdr:row>4</xdr:row>
      <xdr:rowOff>89352</xdr:rowOff>
    </xdr:to>
    <xdr:sp macro="" textlink="">
      <xdr:nvSpPr>
        <xdr:cNvPr id="6" name="Flecha derecha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flipH="1">
          <a:off x="18968356" y="483052"/>
          <a:ext cx="1306286" cy="749300"/>
        </a:xfrm>
        <a:prstGeom prst="righ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R" sz="1800" b="1"/>
            <a:t>Regresar</a:t>
          </a:r>
        </a:p>
      </xdr:txBody>
    </xdr:sp>
    <xdr:clientData/>
  </xdr:twoCellAnchor>
  <xdr:twoCellAnchor>
    <xdr:from>
      <xdr:col>4</xdr:col>
      <xdr:colOff>1</xdr:colOff>
      <xdr:row>4</xdr:row>
      <xdr:rowOff>340178</xdr:rowOff>
    </xdr:from>
    <xdr:to>
      <xdr:col>10</xdr:col>
      <xdr:colOff>571500</xdr:colOff>
      <xdr:row>19</xdr:row>
      <xdr:rowOff>201385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194211</xdr:colOff>
      <xdr:row>4</xdr:row>
      <xdr:rowOff>363307</xdr:rowOff>
    </xdr:from>
    <xdr:to>
      <xdr:col>22</xdr:col>
      <xdr:colOff>573974</xdr:colOff>
      <xdr:row>19</xdr:row>
      <xdr:rowOff>204106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9898B3-A40B-4CF4-9092-7B78738DA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353788</xdr:colOff>
      <xdr:row>4</xdr:row>
      <xdr:rowOff>176892</xdr:rowOff>
    </xdr:from>
    <xdr:to>
      <xdr:col>12</xdr:col>
      <xdr:colOff>557893</xdr:colOff>
      <xdr:row>18</xdr:row>
      <xdr:rowOff>299357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408213</xdr:colOff>
      <xdr:row>2</xdr:row>
      <xdr:rowOff>38439</xdr:rowOff>
    </xdr:from>
    <xdr:to>
      <xdr:col>4</xdr:col>
      <xdr:colOff>490196</xdr:colOff>
      <xdr:row>4</xdr:row>
      <xdr:rowOff>19389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34" y="419439"/>
          <a:ext cx="1660412" cy="7429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279281</xdr:colOff>
      <xdr:row>2</xdr:row>
      <xdr:rowOff>3400</xdr:rowOff>
    </xdr:from>
    <xdr:to>
      <xdr:col>12</xdr:col>
      <xdr:colOff>423520</xdr:colOff>
      <xdr:row>3</xdr:row>
      <xdr:rowOff>371700</xdr:rowOff>
    </xdr:to>
    <xdr:sp macro="" textlink="">
      <xdr:nvSpPr>
        <xdr:cNvPr id="6" name="Flecha derecha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11491567" y="384400"/>
          <a:ext cx="1396096" cy="749300"/>
        </a:xfrm>
        <a:prstGeom prst="righ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R" sz="1800" b="1"/>
            <a:t>Regresar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95248</xdr:colOff>
      <xdr:row>1</xdr:row>
      <xdr:rowOff>70305</xdr:rowOff>
    </xdr:from>
    <xdr:to>
      <xdr:col>2</xdr:col>
      <xdr:colOff>2171699</xdr:colOff>
      <xdr:row>3</xdr:row>
      <xdr:rowOff>4083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8" y="165555"/>
          <a:ext cx="2076451" cy="96247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283934</xdr:colOff>
      <xdr:row>1</xdr:row>
      <xdr:rowOff>94341</xdr:rowOff>
    </xdr:from>
    <xdr:to>
      <xdr:col>14</xdr:col>
      <xdr:colOff>20410</xdr:colOff>
      <xdr:row>2</xdr:row>
      <xdr:rowOff>322941</xdr:rowOff>
    </xdr:to>
    <xdr:sp macro="" textlink="">
      <xdr:nvSpPr>
        <xdr:cNvPr id="4" name="Flecha derecha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14704784" y="189591"/>
          <a:ext cx="1431926" cy="790575"/>
        </a:xfrm>
        <a:prstGeom prst="righ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R" sz="1800" b="1"/>
            <a:t>Regresar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111918</xdr:colOff>
      <xdr:row>0</xdr:row>
      <xdr:rowOff>121443</xdr:rowOff>
    </xdr:from>
    <xdr:to>
      <xdr:col>2</xdr:col>
      <xdr:colOff>452437</xdr:colOff>
      <xdr:row>2</xdr:row>
      <xdr:rowOff>102393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918" y="121443"/>
          <a:ext cx="1626394" cy="7429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11</xdr:col>
      <xdr:colOff>114298</xdr:colOff>
      <xdr:row>0</xdr:row>
      <xdr:rowOff>119063</xdr:rowOff>
    </xdr:from>
    <xdr:to>
      <xdr:col>12</xdr:col>
      <xdr:colOff>690563</xdr:colOff>
      <xdr:row>2</xdr:row>
      <xdr:rowOff>11907</xdr:rowOff>
    </xdr:to>
    <xdr:sp macro="" textlink="">
      <xdr:nvSpPr>
        <xdr:cNvPr id="3" name="Flecha derecha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0127454" y="119063"/>
          <a:ext cx="1338265" cy="654844"/>
        </a:xfrm>
        <a:prstGeom prst="righ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R" sz="1800" b="1"/>
            <a:t>Regresar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108857</xdr:rowOff>
    </xdr:from>
    <xdr:to>
      <xdr:col>5</xdr:col>
      <xdr:colOff>802821</xdr:colOff>
      <xdr:row>27</xdr:row>
      <xdr:rowOff>76200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55025</xdr:colOff>
      <xdr:row>1</xdr:row>
      <xdr:rowOff>158750</xdr:rowOff>
    </xdr:from>
    <xdr:to>
      <xdr:col>2</xdr:col>
      <xdr:colOff>2302925</xdr:colOff>
      <xdr:row>4</xdr:row>
      <xdr:rowOff>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275" y="254000"/>
          <a:ext cx="2247900" cy="9683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392791</xdr:colOff>
      <xdr:row>1</xdr:row>
      <xdr:rowOff>298451</xdr:rowOff>
    </xdr:from>
    <xdr:to>
      <xdr:col>14</xdr:col>
      <xdr:colOff>13606</xdr:colOff>
      <xdr:row>3</xdr:row>
      <xdr:rowOff>64408</xdr:rowOff>
    </xdr:to>
    <xdr:sp macro="" textlink="">
      <xdr:nvSpPr>
        <xdr:cNvPr id="5" name="Flecha derecha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 flipH="1">
          <a:off x="14734720" y="393701"/>
          <a:ext cx="1308100" cy="786493"/>
        </a:xfrm>
        <a:prstGeom prst="righ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R" sz="1800" b="1"/>
            <a:t>Regresar</a:t>
          </a:r>
        </a:p>
      </xdr:txBody>
    </xdr:sp>
    <xdr:clientData/>
  </xdr:twoCellAnchor>
  <xdr:twoCellAnchor>
    <xdr:from>
      <xdr:col>6</xdr:col>
      <xdr:colOff>149678</xdr:colOff>
      <xdr:row>11</xdr:row>
      <xdr:rowOff>122465</xdr:rowOff>
    </xdr:from>
    <xdr:to>
      <xdr:col>14</xdr:col>
      <xdr:colOff>27214</xdr:colOff>
      <xdr:row>27</xdr:row>
      <xdr:rowOff>54428</xdr:rowOff>
    </xdr:to>
    <xdr:graphicFrame macro="">
      <xdr:nvGraphicFramePr>
        <xdr:cNvPr id="6" name="Gráfico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S42"/>
  <sheetViews>
    <sheetView showGridLines="0" showRowColHeaders="0" tabSelected="1" topLeftCell="A4" zoomScale="80" zoomScaleNormal="80" zoomScalePageLayoutView="80" workbookViewId="0">
      <selection activeCell="A21" sqref="A21"/>
    </sheetView>
  </sheetViews>
  <sheetFormatPr baseColWidth="10" defaultColWidth="9" defaultRowHeight="15"/>
  <sheetData>
    <row r="42" spans="19:19">
      <c r="S42" s="12"/>
    </row>
  </sheetData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9F66-ABEF-4D38-A1E3-9EF0C4644A30}">
  <dimension ref="C2:R25"/>
  <sheetViews>
    <sheetView showGridLines="0" topLeftCell="A13" zoomScale="80" zoomScaleNormal="80" zoomScalePageLayoutView="80" workbookViewId="0">
      <selection activeCell="I23" sqref="I23"/>
    </sheetView>
  </sheetViews>
  <sheetFormatPr baseColWidth="10" defaultColWidth="9" defaultRowHeight="15"/>
  <cols>
    <col min="1" max="1" width="12" customWidth="1"/>
    <col min="2" max="2" width="13.28515625" customWidth="1"/>
    <col min="3" max="3" width="6.85546875" customWidth="1"/>
    <col min="4" max="4" width="3.42578125" customWidth="1"/>
    <col min="5" max="5" width="8.28515625" customWidth="1"/>
    <col min="6" max="6" width="9" customWidth="1"/>
    <col min="7" max="7" width="46.7109375" customWidth="1"/>
    <col min="8" max="8" width="24.42578125" customWidth="1"/>
    <col min="9" max="9" width="24.7109375" customWidth="1"/>
    <col min="10" max="10" width="25.140625" customWidth="1"/>
    <col min="12" max="12" width="9.85546875" bestFit="1" customWidth="1"/>
    <col min="13" max="13" width="16.28515625" customWidth="1"/>
    <col min="16" max="16" width="12" customWidth="1"/>
  </cols>
  <sheetData>
    <row r="2" spans="3:18" ht="15" customHeight="1">
      <c r="G2" s="9"/>
    </row>
    <row r="3" spans="3:18" ht="30" customHeight="1">
      <c r="D3" s="59"/>
      <c r="F3" s="59"/>
      <c r="G3" s="154" t="s">
        <v>167</v>
      </c>
      <c r="H3" s="154"/>
      <c r="I3" s="154"/>
      <c r="J3" s="154"/>
      <c r="K3" s="59"/>
      <c r="L3" s="59"/>
      <c r="M3" s="59"/>
      <c r="N3" s="59"/>
      <c r="O3" s="59"/>
      <c r="P3" s="59"/>
      <c r="Q3" s="59"/>
      <c r="R3" s="59"/>
    </row>
    <row r="4" spans="3:18" ht="30" customHeight="1">
      <c r="C4" s="59"/>
      <c r="D4" s="59"/>
      <c r="E4" s="59"/>
      <c r="F4" s="59"/>
      <c r="G4" s="154"/>
      <c r="H4" s="154"/>
      <c r="I4" s="154"/>
      <c r="J4" s="154"/>
      <c r="K4" s="59"/>
      <c r="L4" s="59"/>
      <c r="M4" s="59"/>
      <c r="N4" s="59"/>
      <c r="O4" s="59"/>
      <c r="P4" s="59"/>
      <c r="Q4" s="59"/>
      <c r="R4" s="59"/>
    </row>
    <row r="5" spans="3:18" ht="30" customHeight="1"/>
    <row r="6" spans="3:18" ht="30" customHeight="1"/>
    <row r="7" spans="3:18" ht="30" customHeight="1"/>
    <row r="8" spans="3:18" ht="30" customHeight="1"/>
    <row r="9" spans="3:18" ht="30" customHeight="1"/>
    <row r="10" spans="3:18" ht="30" customHeight="1"/>
    <row r="11" spans="3:18" ht="30" customHeight="1"/>
    <row r="12" spans="3:18" ht="30" customHeight="1"/>
    <row r="13" spans="3:18" ht="30" customHeight="1"/>
    <row r="14" spans="3:18" ht="30" customHeight="1"/>
    <row r="15" spans="3:18" ht="30" customHeight="1"/>
    <row r="16" spans="3:18" ht="30" customHeight="1"/>
    <row r="17" spans="7:9" ht="30" customHeight="1"/>
    <row r="18" spans="7:9" ht="30" customHeight="1"/>
    <row r="19" spans="7:9" ht="30" customHeight="1"/>
    <row r="20" spans="7:9" ht="39.950000000000003" customHeight="1"/>
    <row r="21" spans="7:9" ht="39.950000000000003" customHeight="1">
      <c r="G21" s="150" t="s">
        <v>150</v>
      </c>
      <c r="H21" s="153" t="s">
        <v>151</v>
      </c>
      <c r="I21" s="150"/>
    </row>
    <row r="22" spans="7:9" ht="39.950000000000003" customHeight="1">
      <c r="G22" s="151"/>
      <c r="H22" s="104">
        <v>2018</v>
      </c>
      <c r="I22" s="104">
        <v>2019</v>
      </c>
    </row>
    <row r="23" spans="7:9" ht="39.950000000000003" customHeight="1">
      <c r="G23" s="111" t="s">
        <v>2</v>
      </c>
      <c r="H23" s="106">
        <v>5.6020000000000003</v>
      </c>
      <c r="I23" s="106">
        <f>'BN Valores_2019'!M7</f>
        <v>3.9542537789758558</v>
      </c>
    </row>
    <row r="24" spans="7:9" ht="35.25" customHeight="1">
      <c r="G24" s="111" t="s">
        <v>4</v>
      </c>
      <c r="H24" s="106">
        <v>11.99</v>
      </c>
      <c r="I24" s="106">
        <f>'BN Valores_2019'!M8</f>
        <v>10.573319999999999</v>
      </c>
    </row>
    <row r="25" spans="7:9" ht="24.95" customHeight="1">
      <c r="G25" s="105" t="s">
        <v>5</v>
      </c>
      <c r="H25" s="110">
        <f>SUM(H23:H24)</f>
        <v>17.591999999999999</v>
      </c>
      <c r="I25" s="110">
        <f>SUM(I23:I24)</f>
        <v>14.527573778975855</v>
      </c>
    </row>
  </sheetData>
  <mergeCells count="3">
    <mergeCell ref="G3:J4"/>
    <mergeCell ref="G21:G22"/>
    <mergeCell ref="H21:I21"/>
  </mergeCells>
  <phoneticPr fontId="36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25"/>
  <sheetViews>
    <sheetView showGridLines="0" topLeftCell="A4" workbookViewId="0">
      <selection activeCell="R6" sqref="R6"/>
    </sheetView>
  </sheetViews>
  <sheetFormatPr baseColWidth="10" defaultColWidth="9" defaultRowHeight="15"/>
  <cols>
    <col min="1" max="1" width="12" customWidth="1"/>
    <col min="2" max="2" width="19.85546875" customWidth="1"/>
    <col min="3" max="3" width="13.42578125" customWidth="1"/>
    <col min="4" max="4" width="14" customWidth="1"/>
    <col min="6" max="6" width="9.42578125" bestFit="1" customWidth="1"/>
    <col min="7" max="7" width="9" customWidth="1"/>
    <col min="8" max="8" width="7.85546875" customWidth="1"/>
    <col min="9" max="9" width="8.85546875" customWidth="1"/>
    <col min="10" max="10" width="12.7109375" customWidth="1"/>
    <col min="11" max="11" width="12" customWidth="1"/>
  </cols>
  <sheetData>
    <row r="2" spans="3:14" ht="30" customHeight="1">
      <c r="C2" s="55"/>
      <c r="D2" s="245" t="s">
        <v>165</v>
      </c>
      <c r="E2" s="245"/>
      <c r="F2" s="245"/>
      <c r="G2" s="245"/>
      <c r="H2" s="245"/>
      <c r="I2" s="245"/>
      <c r="J2" s="245"/>
      <c r="K2" s="55"/>
      <c r="L2" s="55"/>
      <c r="M2" s="55"/>
    </row>
    <row r="3" spans="3:14" ht="69" customHeight="1" thickBot="1">
      <c r="D3" s="246"/>
      <c r="E3" s="246"/>
      <c r="F3" s="246"/>
      <c r="G3" s="246"/>
      <c r="H3" s="246"/>
      <c r="I3" s="246"/>
      <c r="J3" s="246"/>
    </row>
    <row r="4" spans="3:14" ht="32.25" customHeight="1">
      <c r="D4" s="146" t="s">
        <v>194</v>
      </c>
      <c r="E4" s="147"/>
      <c r="F4" s="139" t="s">
        <v>154</v>
      </c>
      <c r="G4" s="139" t="s">
        <v>155</v>
      </c>
      <c r="H4" s="139" t="s">
        <v>156</v>
      </c>
      <c r="I4" s="139" t="s">
        <v>159</v>
      </c>
      <c r="J4" s="137" t="s">
        <v>166</v>
      </c>
    </row>
    <row r="5" spans="3:14" ht="24.95" customHeight="1">
      <c r="D5" s="148" t="s">
        <v>2</v>
      </c>
      <c r="E5" s="149"/>
      <c r="F5" s="112">
        <f>SUM('BN Valores_2019'!T16:T18,'BN Valores_2019'!T23:T46)</f>
        <v>3.8160681710316364</v>
      </c>
      <c r="G5" s="112">
        <f>SUM('BN Valores_2019'!U16:U46)</f>
        <v>2.4975651319309098E-2</v>
      </c>
      <c r="H5" s="112">
        <f>SUM('BN Valores_2019'!V16:V46)</f>
        <v>0.1132099566249109</v>
      </c>
      <c r="I5" s="112">
        <f>SUM('BN Valores_2019'!W16:W46)</f>
        <v>0</v>
      </c>
      <c r="J5" s="89">
        <f>SUM(F5,G5,H5,I5)</f>
        <v>3.9542537789758563</v>
      </c>
      <c r="N5" s="11"/>
    </row>
    <row r="6" spans="3:14" ht="24.95" customHeight="1">
      <c r="D6" s="148" t="s">
        <v>4</v>
      </c>
      <c r="E6" s="149"/>
      <c r="F6" s="112">
        <f>'BN Valores_2019'!T19</f>
        <v>10.573319999999999</v>
      </c>
      <c r="G6" s="112" t="s">
        <v>3</v>
      </c>
      <c r="H6" s="112" t="s">
        <v>3</v>
      </c>
      <c r="I6" s="112" t="s">
        <v>3</v>
      </c>
      <c r="J6" s="89">
        <f>SUM('BN Valores_2019'!X19)</f>
        <v>10.573319999999999</v>
      </c>
    </row>
    <row r="7" spans="3:14" ht="24.95" customHeight="1" thickBot="1">
      <c r="D7" s="148" t="s">
        <v>93</v>
      </c>
      <c r="E7" s="149"/>
      <c r="F7" s="113" t="s">
        <v>3</v>
      </c>
      <c r="G7" s="112" t="s">
        <v>3</v>
      </c>
      <c r="H7" s="112" t="s">
        <v>3</v>
      </c>
      <c r="I7" s="112" t="s">
        <v>3</v>
      </c>
      <c r="J7" s="90" t="s">
        <v>3</v>
      </c>
    </row>
    <row r="8" spans="3:14" ht="24.95" customHeight="1">
      <c r="D8" s="144" t="s">
        <v>131</v>
      </c>
      <c r="E8" s="145"/>
      <c r="F8" s="89">
        <f t="shared" ref="F8" si="0">SUM(F5:F7)</f>
        <v>14.389388171031635</v>
      </c>
      <c r="G8" s="89">
        <f>SUM(G5:G7)</f>
        <v>2.4975651319309098E-2</v>
      </c>
      <c r="H8" s="89">
        <f>SUM(H5:H7)</f>
        <v>0.1132099566249109</v>
      </c>
      <c r="I8" s="89">
        <f>SUM(I5:I7)</f>
        <v>0</v>
      </c>
      <c r="J8" s="91">
        <f>SUM(J5:J7)</f>
        <v>14.527573778975855</v>
      </c>
    </row>
    <row r="25" ht="15" customHeight="1"/>
  </sheetData>
  <mergeCells count="6">
    <mergeCell ref="D8:E8"/>
    <mergeCell ref="D4:E4"/>
    <mergeCell ref="D5:E5"/>
    <mergeCell ref="D6:E6"/>
    <mergeCell ref="D7:E7"/>
    <mergeCell ref="D2:J3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F2:Y46"/>
  <sheetViews>
    <sheetView showGridLines="0" topLeftCell="A13" zoomScale="70" zoomScaleNormal="70" zoomScalePageLayoutView="70" workbookViewId="0">
      <selection activeCell="C13" sqref="C13"/>
    </sheetView>
  </sheetViews>
  <sheetFormatPr baseColWidth="10" defaultColWidth="9" defaultRowHeight="15"/>
  <cols>
    <col min="7" max="7" width="12" customWidth="1"/>
    <col min="8" max="8" width="13.42578125" customWidth="1"/>
    <col min="9" max="9" width="25.7109375" customWidth="1"/>
    <col min="10" max="10" width="32.28515625" bestFit="1" customWidth="1"/>
    <col min="11" max="16" width="11.7109375" customWidth="1"/>
  </cols>
  <sheetData>
    <row r="2" spans="6:25" ht="15" customHeight="1">
      <c r="K2" s="9"/>
    </row>
    <row r="3" spans="6:25" ht="30" customHeight="1">
      <c r="F3" s="155" t="s">
        <v>193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51"/>
      <c r="V3" s="51"/>
      <c r="W3" s="51"/>
      <c r="X3" s="51"/>
      <c r="Y3" s="51"/>
    </row>
    <row r="4" spans="6:25" ht="30" customHeight="1"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51"/>
      <c r="V4" s="51"/>
      <c r="W4" s="51"/>
      <c r="X4" s="51"/>
      <c r="Y4" s="51"/>
    </row>
    <row r="5" spans="6:25" ht="30" customHeight="1">
      <c r="I5" s="45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6:25" ht="30" customHeight="1">
      <c r="I6" s="86"/>
      <c r="J6" s="87"/>
      <c r="K6" s="93"/>
      <c r="L6" s="93"/>
      <c r="M6" s="93"/>
      <c r="N6" s="93"/>
      <c r="O6" s="93"/>
      <c r="P6" s="92"/>
      <c r="Q6" s="86"/>
      <c r="R6" s="86"/>
    </row>
    <row r="7" spans="6:25" ht="30" customHeight="1">
      <c r="I7" s="86"/>
      <c r="J7" s="87"/>
      <c r="K7" s="93"/>
      <c r="L7" s="93"/>
      <c r="M7" s="93"/>
      <c r="N7" s="93"/>
      <c r="O7" s="93"/>
      <c r="P7" s="92"/>
      <c r="Q7" s="86"/>
      <c r="R7" s="86"/>
    </row>
    <row r="8" spans="6:25" ht="30" customHeight="1">
      <c r="I8" s="86"/>
      <c r="J8" s="87"/>
      <c r="K8" s="93"/>
      <c r="L8" s="93"/>
      <c r="M8" s="93"/>
      <c r="N8" s="93"/>
      <c r="O8" s="93"/>
      <c r="P8" s="92"/>
      <c r="Q8" s="86"/>
      <c r="R8" s="86"/>
    </row>
    <row r="9" spans="6:25" ht="30" customHeight="1">
      <c r="I9" s="86"/>
      <c r="J9" s="87"/>
      <c r="K9" s="93"/>
      <c r="L9" s="93"/>
      <c r="M9" s="93"/>
      <c r="N9" s="93"/>
      <c r="O9" s="93"/>
      <c r="P9" s="92"/>
      <c r="Q9" s="86"/>
      <c r="R9" s="86"/>
    </row>
    <row r="10" spans="6:25" ht="30" customHeight="1">
      <c r="I10" s="86"/>
      <c r="J10" s="87"/>
      <c r="K10" s="93"/>
      <c r="L10" s="93"/>
      <c r="M10" s="93"/>
      <c r="N10" s="93"/>
      <c r="O10" s="93"/>
      <c r="P10" s="92"/>
      <c r="Q10" s="86"/>
      <c r="R10" s="86"/>
    </row>
    <row r="11" spans="6:25" ht="30" customHeight="1">
      <c r="I11" s="86"/>
      <c r="J11" s="87"/>
      <c r="K11" s="93"/>
      <c r="L11" s="93"/>
      <c r="M11" s="93"/>
      <c r="N11" s="93"/>
      <c r="O11" s="93"/>
      <c r="P11" s="92"/>
      <c r="Q11" s="86"/>
      <c r="R11" s="86"/>
    </row>
    <row r="12" spans="6:25" ht="30" customHeight="1">
      <c r="I12" s="86"/>
      <c r="J12" s="87"/>
      <c r="K12" s="93"/>
      <c r="L12" s="93"/>
      <c r="M12" s="93"/>
      <c r="N12" s="93"/>
      <c r="O12" s="93"/>
      <c r="P12" s="92"/>
      <c r="Q12" s="86"/>
      <c r="R12" s="86"/>
    </row>
    <row r="13" spans="6:25" ht="30" customHeight="1">
      <c r="I13" s="86"/>
      <c r="J13" s="87"/>
      <c r="K13" s="93"/>
      <c r="L13" s="93"/>
      <c r="M13" s="93"/>
      <c r="N13" s="93"/>
      <c r="O13" s="93"/>
      <c r="P13" s="92"/>
      <c r="Q13" s="86"/>
      <c r="R13" s="86"/>
    </row>
    <row r="14" spans="6:25" ht="30" customHeight="1">
      <c r="I14" s="86"/>
      <c r="J14" s="87"/>
      <c r="K14" s="93"/>
      <c r="L14" s="93"/>
      <c r="M14" s="93"/>
      <c r="N14" s="93"/>
      <c r="O14" s="93"/>
      <c r="P14" s="92"/>
      <c r="Q14" s="86"/>
      <c r="R14" s="86"/>
    </row>
    <row r="15" spans="6:25" ht="30" customHeight="1">
      <c r="I15" s="86"/>
      <c r="J15" s="87"/>
      <c r="K15" s="93"/>
      <c r="L15" s="93"/>
      <c r="M15" s="93"/>
      <c r="N15" s="93"/>
      <c r="O15" s="93"/>
      <c r="P15" s="92"/>
      <c r="Q15" s="86"/>
      <c r="R15" s="86"/>
    </row>
    <row r="16" spans="6:25" ht="30" customHeight="1">
      <c r="I16" s="86"/>
      <c r="J16" s="87"/>
      <c r="K16" s="93"/>
      <c r="L16" s="93"/>
      <c r="M16" s="93"/>
      <c r="N16" s="93"/>
      <c r="O16" s="93"/>
      <c r="P16" s="92"/>
      <c r="Q16" s="86"/>
      <c r="R16" s="86"/>
    </row>
    <row r="17" spans="9:18" ht="30" customHeight="1">
      <c r="I17" s="86"/>
      <c r="J17" s="87"/>
      <c r="K17" s="93"/>
      <c r="L17" s="93"/>
      <c r="M17" s="93"/>
      <c r="N17" s="93"/>
      <c r="O17" s="93"/>
      <c r="P17" s="92"/>
      <c r="Q17" s="86"/>
      <c r="R17" s="86"/>
    </row>
    <row r="18" spans="9:18" ht="30" customHeight="1">
      <c r="I18" s="86"/>
      <c r="J18" s="87"/>
      <c r="K18" s="93"/>
      <c r="L18" s="93"/>
      <c r="M18" s="93"/>
      <c r="N18" s="93"/>
      <c r="O18" s="93"/>
      <c r="P18" s="92"/>
      <c r="Q18" s="86"/>
      <c r="R18" s="86"/>
    </row>
    <row r="19" spans="9:18" ht="30" customHeight="1">
      <c r="I19" s="86"/>
      <c r="J19" s="87"/>
      <c r="K19" s="93"/>
      <c r="L19" s="93"/>
      <c r="M19" s="93"/>
      <c r="N19" s="93"/>
      <c r="O19" s="93"/>
      <c r="P19" s="92"/>
      <c r="Q19" s="86"/>
      <c r="R19" s="86"/>
    </row>
    <row r="20" spans="9:18" ht="30" customHeight="1">
      <c r="I20" s="86"/>
      <c r="J20" s="87"/>
      <c r="K20" s="93"/>
      <c r="L20" s="93"/>
      <c r="M20" s="93"/>
      <c r="N20" s="93"/>
      <c r="O20" s="93"/>
      <c r="P20" s="92"/>
      <c r="Q20" s="86"/>
      <c r="R20" s="86"/>
    </row>
    <row r="21" spans="9:18" ht="43.5" customHeight="1">
      <c r="I21" s="156" t="s">
        <v>153</v>
      </c>
      <c r="J21" s="157"/>
      <c r="K21" s="157"/>
      <c r="L21" s="157"/>
      <c r="M21" s="157"/>
      <c r="N21" s="157"/>
      <c r="O21" s="157"/>
      <c r="P21" s="157"/>
      <c r="Q21" s="157"/>
    </row>
    <row r="22" spans="9:18" ht="42" customHeight="1">
      <c r="I22" s="141" t="s">
        <v>107</v>
      </c>
      <c r="J22" s="141" t="s">
        <v>108</v>
      </c>
      <c r="K22" s="142" t="s">
        <v>154</v>
      </c>
      <c r="L22" s="142" t="s">
        <v>155</v>
      </c>
      <c r="M22" s="142" t="s">
        <v>156</v>
      </c>
      <c r="N22" s="142" t="s">
        <v>159</v>
      </c>
      <c r="O22" s="138" t="s">
        <v>162</v>
      </c>
      <c r="P22" s="138" t="s">
        <v>152</v>
      </c>
      <c r="Q22" s="138" t="s">
        <v>192</v>
      </c>
    </row>
    <row r="23" spans="9:18" ht="30" customHeight="1">
      <c r="I23" s="240" t="s">
        <v>2</v>
      </c>
      <c r="J23" s="241"/>
      <c r="K23" s="241"/>
      <c r="L23" s="241"/>
      <c r="M23" s="241"/>
      <c r="N23" s="241"/>
      <c r="O23" s="241"/>
      <c r="P23" s="241"/>
      <c r="Q23" s="241"/>
    </row>
    <row r="24" spans="9:18" ht="45" customHeight="1">
      <c r="I24" s="88" t="s">
        <v>184</v>
      </c>
      <c r="J24" s="88" t="s">
        <v>182</v>
      </c>
      <c r="K24" s="107">
        <f>'BN Valores_2019'!T23</f>
        <v>2.7828793465999997</v>
      </c>
      <c r="L24" s="108">
        <f>'BN Valores_2019'!U23</f>
        <v>2.3758629724200005E-2</v>
      </c>
      <c r="M24" s="107">
        <f>'BN Valores_2019'!V23</f>
        <v>0.10943164727799999</v>
      </c>
      <c r="N24" s="108">
        <v>0</v>
      </c>
      <c r="O24" s="107">
        <v>0</v>
      </c>
      <c r="P24" s="109">
        <f>SUM(K24:O24)</f>
        <v>2.9160696236021995</v>
      </c>
      <c r="Q24" s="109">
        <f>+P24/$P$41*100</f>
        <v>20.072654029968191</v>
      </c>
    </row>
    <row r="25" spans="9:18" ht="45" customHeight="1">
      <c r="I25" s="88" t="s">
        <v>109</v>
      </c>
      <c r="J25" s="88" t="s">
        <v>110</v>
      </c>
      <c r="K25" s="107">
        <f>'BN Valores_2019'!T24</f>
        <v>2.9408636363636362E-2</v>
      </c>
      <c r="L25" s="108">
        <f>'BN Valores_2019'!U24</f>
        <v>2.5107409090909091E-4</v>
      </c>
      <c r="M25" s="107">
        <f>'BN Valores_2019'!V24</f>
        <v>1.156440909090909E-3</v>
      </c>
      <c r="N25" s="108">
        <v>0</v>
      </c>
      <c r="O25" s="107">
        <v>0</v>
      </c>
      <c r="P25" s="109">
        <f t="shared" ref="P25:P36" si="0">SUM(K25:O25)</f>
        <v>3.0816151363636361E-2</v>
      </c>
      <c r="Q25" s="109">
        <f t="shared" ref="Q25:Q38" si="1">+P25/$P$41*100</f>
        <v>0.2121218025286036</v>
      </c>
    </row>
    <row r="26" spans="9:18" ht="45" customHeight="1">
      <c r="I26" s="88" t="s">
        <v>185</v>
      </c>
      <c r="J26" s="88" t="s">
        <v>183</v>
      </c>
      <c r="K26" s="107">
        <f>'BN Valores_2019'!T31</f>
        <v>0</v>
      </c>
      <c r="L26" s="108">
        <f>'BN Valores_2019'!U31</f>
        <v>0</v>
      </c>
      <c r="M26" s="107">
        <f>'BN Valores_2019'!V31</f>
        <v>0</v>
      </c>
      <c r="N26" s="108">
        <f>'BN Valores_2019'!W31</f>
        <v>0</v>
      </c>
      <c r="O26" s="107">
        <v>0</v>
      </c>
      <c r="P26" s="109">
        <f t="shared" si="0"/>
        <v>0</v>
      </c>
      <c r="Q26" s="109">
        <f t="shared" si="1"/>
        <v>0</v>
      </c>
    </row>
    <row r="27" spans="9:18" ht="45" customHeight="1">
      <c r="I27" s="88" t="s">
        <v>111</v>
      </c>
      <c r="J27" s="88" t="s">
        <v>112</v>
      </c>
      <c r="K27" s="107">
        <f>'BN Valores_2019'!T45</f>
        <v>0</v>
      </c>
      <c r="L27" s="108">
        <f>'BN Valores_2019'!U45</f>
        <v>0</v>
      </c>
      <c r="M27" s="107">
        <f>'BN Valores_2019'!V45</f>
        <v>0</v>
      </c>
      <c r="N27" s="108">
        <f>'BN Valores_2019'!W45</f>
        <v>0</v>
      </c>
      <c r="O27" s="107">
        <v>0</v>
      </c>
      <c r="P27" s="109">
        <f t="shared" si="0"/>
        <v>0</v>
      </c>
      <c r="Q27" s="109">
        <f t="shared" si="1"/>
        <v>0</v>
      </c>
    </row>
    <row r="28" spans="9:18" ht="45" customHeight="1">
      <c r="I28" s="140" t="s">
        <v>186</v>
      </c>
      <c r="J28" s="88" t="s">
        <v>113</v>
      </c>
      <c r="K28" s="107">
        <f>'BN Valores_2019'!T38</f>
        <v>0</v>
      </c>
      <c r="L28" s="108">
        <f>'BN Valores_2019'!U38</f>
        <v>0</v>
      </c>
      <c r="M28" s="107">
        <f>'BN Valores_2019'!V38</f>
        <v>0</v>
      </c>
      <c r="N28" s="108">
        <f>+'BN Valores_2019'!W38</f>
        <v>0</v>
      </c>
      <c r="O28" s="107">
        <v>0</v>
      </c>
      <c r="P28" s="109">
        <f t="shared" si="0"/>
        <v>0</v>
      </c>
      <c r="Q28" s="109">
        <f t="shared" si="1"/>
        <v>0</v>
      </c>
    </row>
    <row r="29" spans="9:18" ht="45" customHeight="1">
      <c r="I29" s="140" t="s">
        <v>187</v>
      </c>
      <c r="J29" s="88" t="s">
        <v>114</v>
      </c>
      <c r="K29" s="107">
        <f>'BN Valores_2019'!T39</f>
        <v>3.0895022660000004E-2</v>
      </c>
      <c r="L29" s="108">
        <f>'BN Valores_2019'!U39</f>
        <v>0</v>
      </c>
      <c r="M29" s="107">
        <f>'BN Valores_2019'!V39</f>
        <v>0</v>
      </c>
      <c r="N29" s="108">
        <f>'BN Valores_2019'!W39</f>
        <v>0</v>
      </c>
      <c r="O29" s="107">
        <v>0</v>
      </c>
      <c r="P29" s="109">
        <f t="shared" si="0"/>
        <v>3.0895022660000004E-2</v>
      </c>
      <c r="Q29" s="109">
        <f t="shared" si="1"/>
        <v>0.21266471008883084</v>
      </c>
    </row>
    <row r="30" spans="9:18" ht="45" customHeight="1">
      <c r="I30" s="140" t="s">
        <v>175</v>
      </c>
      <c r="J30" s="140" t="s">
        <v>191</v>
      </c>
      <c r="K30" s="107">
        <f>+'BN Valores_2019'!T40</f>
        <v>3.4722852107999996E-2</v>
      </c>
      <c r="L30" s="108">
        <f>+'BN Valores_2019'!U40</f>
        <v>1.122786E-4</v>
      </c>
      <c r="M30" s="107">
        <f>+'BN Valores_2019'!V40</f>
        <v>9.9446759999999982E-5</v>
      </c>
      <c r="N30" s="108">
        <f>+'BN Valores_2019'!W40</f>
        <v>0</v>
      </c>
      <c r="O30" s="107">
        <v>0</v>
      </c>
      <c r="P30" s="109">
        <f t="shared" si="0"/>
        <v>3.4934577467999994E-2</v>
      </c>
      <c r="Q30" s="109">
        <f t="shared" si="1"/>
        <v>0.24047083153387203</v>
      </c>
    </row>
    <row r="31" spans="9:18" ht="45" customHeight="1">
      <c r="I31" s="140" t="s">
        <v>188</v>
      </c>
      <c r="J31" s="88" t="s">
        <v>115</v>
      </c>
      <c r="K31" s="107">
        <f>'BN Valores_2019'!T25</f>
        <v>0</v>
      </c>
      <c r="L31" s="108">
        <f>'BN Valores_2019'!U25</f>
        <v>0</v>
      </c>
      <c r="M31" s="107">
        <f>'BN Valores_2019'!V25</f>
        <v>0</v>
      </c>
      <c r="N31" s="108">
        <f>'BN Valores_2019'!W25</f>
        <v>0</v>
      </c>
      <c r="O31" s="107">
        <v>0</v>
      </c>
      <c r="P31" s="109">
        <f t="shared" si="0"/>
        <v>0</v>
      </c>
      <c r="Q31" s="109">
        <f t="shared" si="1"/>
        <v>0</v>
      </c>
    </row>
    <row r="32" spans="9:18" ht="45" customHeight="1">
      <c r="I32" s="140" t="s">
        <v>189</v>
      </c>
      <c r="J32" s="88" t="s">
        <v>116</v>
      </c>
      <c r="K32" s="107">
        <f>'BN Valores_2019'!T27</f>
        <v>0.87066231329999999</v>
      </c>
      <c r="L32" s="108">
        <f>'BN Valores_2019'!U27</f>
        <v>8.5366890419999984E-4</v>
      </c>
      <c r="M32" s="107">
        <f>'BN Valores_2019'!V27</f>
        <v>2.5224216778199997E-3</v>
      </c>
      <c r="N32" s="108">
        <f>'BN Valores_2019'!W27</f>
        <v>0</v>
      </c>
      <c r="O32" s="107">
        <v>0</v>
      </c>
      <c r="P32" s="109">
        <f t="shared" si="0"/>
        <v>0.87403840388202003</v>
      </c>
      <c r="Q32" s="109">
        <f t="shared" si="1"/>
        <v>6.0164100157379261</v>
      </c>
    </row>
    <row r="33" spans="9:17" ht="45" customHeight="1">
      <c r="I33" s="88" t="s">
        <v>117</v>
      </c>
      <c r="J33" s="88" t="s">
        <v>118</v>
      </c>
      <c r="K33" s="107">
        <f>'BN Valores_2019'!T26</f>
        <v>0</v>
      </c>
      <c r="L33" s="108">
        <f>'BN Valores_2019'!U26</f>
        <v>0</v>
      </c>
      <c r="M33" s="107">
        <f>'BN Valores_2019'!V26</f>
        <v>0</v>
      </c>
      <c r="N33" s="108">
        <f>'BN Valores_2019'!W26</f>
        <v>0</v>
      </c>
      <c r="O33" s="107">
        <v>0</v>
      </c>
      <c r="P33" s="109">
        <f t="shared" si="0"/>
        <v>0</v>
      </c>
      <c r="Q33" s="109">
        <f t="shared" si="1"/>
        <v>0</v>
      </c>
    </row>
    <row r="34" spans="9:17" ht="45" customHeight="1">
      <c r="I34" s="88" t="s">
        <v>119</v>
      </c>
      <c r="J34" s="88" t="s">
        <v>120</v>
      </c>
      <c r="K34" s="107">
        <f>'BN Valores_2019'!T33</f>
        <v>0</v>
      </c>
      <c r="L34" s="108">
        <f>'BN Valores_2019'!U33</f>
        <v>0</v>
      </c>
      <c r="M34" s="107">
        <f>'BN Valores_2019'!V33</f>
        <v>0</v>
      </c>
      <c r="N34" s="108">
        <f>'BN Valores_2019'!W33</f>
        <v>0</v>
      </c>
      <c r="O34" s="107">
        <v>0</v>
      </c>
      <c r="P34" s="109">
        <f t="shared" si="0"/>
        <v>0</v>
      </c>
      <c r="Q34" s="109">
        <f t="shared" si="1"/>
        <v>0</v>
      </c>
    </row>
    <row r="35" spans="9:17" ht="45" customHeight="1">
      <c r="I35" s="88" t="s">
        <v>121</v>
      </c>
      <c r="J35" s="88" t="s">
        <v>122</v>
      </c>
      <c r="K35" s="107">
        <f>'BN Valores_2019'!T36</f>
        <v>0</v>
      </c>
      <c r="L35" s="108">
        <f>'BN Valores_2019'!U36</f>
        <v>0</v>
      </c>
      <c r="M35" s="107">
        <f>'BN Valores_2019'!V36</f>
        <v>0</v>
      </c>
      <c r="N35" s="108">
        <f>'BN Valores_2019'!W36</f>
        <v>0</v>
      </c>
      <c r="O35" s="107">
        <v>0</v>
      </c>
      <c r="P35" s="109">
        <f t="shared" si="0"/>
        <v>0</v>
      </c>
      <c r="Q35" s="109">
        <f t="shared" si="1"/>
        <v>0</v>
      </c>
    </row>
    <row r="36" spans="9:17" ht="45" customHeight="1">
      <c r="I36" s="88" t="s">
        <v>190</v>
      </c>
      <c r="J36" s="88" t="s">
        <v>123</v>
      </c>
      <c r="K36" s="107">
        <f>'BN Valores_2019'!T41</f>
        <v>6.7500000000000004E-2</v>
      </c>
      <c r="L36" s="108">
        <f>'BN Valores_2019'!U41</f>
        <v>0</v>
      </c>
      <c r="M36" s="107">
        <f>'BN Valores_2019'!V41</f>
        <v>0</v>
      </c>
      <c r="N36" s="108">
        <f>'BN Valores_2019'!W41</f>
        <v>0</v>
      </c>
      <c r="O36" s="107">
        <v>0</v>
      </c>
      <c r="P36" s="109">
        <f t="shared" si="0"/>
        <v>6.7500000000000004E-2</v>
      </c>
      <c r="Q36" s="109">
        <f t="shared" si="1"/>
        <v>0.46463367542958384</v>
      </c>
    </row>
    <row r="37" spans="9:17" ht="30" customHeight="1">
      <c r="I37" s="158" t="s">
        <v>4</v>
      </c>
      <c r="J37" s="159"/>
      <c r="K37" s="159"/>
      <c r="L37" s="159"/>
      <c r="M37" s="159"/>
      <c r="N37" s="159"/>
      <c r="O37" s="159"/>
      <c r="P37" s="159"/>
      <c r="Q37" s="160"/>
    </row>
    <row r="38" spans="9:17" ht="45" customHeight="1">
      <c r="I38" s="88" t="s">
        <v>124</v>
      </c>
      <c r="J38" s="88" t="s">
        <v>125</v>
      </c>
      <c r="K38" s="107">
        <f>'BN Valores_2019'!T19</f>
        <v>10.573319999999999</v>
      </c>
      <c r="L38" s="108">
        <f>'BN Valores_2019'!U19</f>
        <v>0</v>
      </c>
      <c r="M38" s="107">
        <f>'BN Valores_2019'!V19</f>
        <v>0</v>
      </c>
      <c r="N38" s="108">
        <f>'BN Valores_2019'!W19</f>
        <v>0</v>
      </c>
      <c r="O38" s="107">
        <v>0</v>
      </c>
      <c r="P38" s="109">
        <f>SUM(K38:O38)</f>
        <v>10.573319999999999</v>
      </c>
      <c r="Q38" s="109">
        <f t="shared" si="1"/>
        <v>72.781044934712995</v>
      </c>
    </row>
    <row r="39" spans="9:17" ht="30" customHeight="1">
      <c r="I39" s="242" t="s">
        <v>95</v>
      </c>
      <c r="J39" s="243"/>
      <c r="K39" s="243"/>
      <c r="L39" s="243"/>
      <c r="M39" s="243"/>
      <c r="N39" s="243"/>
      <c r="O39" s="243"/>
      <c r="P39" s="243"/>
      <c r="Q39" s="243"/>
    </row>
    <row r="40" spans="9:17" ht="45" customHeight="1">
      <c r="I40" s="60" t="s">
        <v>3</v>
      </c>
      <c r="J40" s="60" t="s">
        <v>3</v>
      </c>
      <c r="K40" s="60"/>
      <c r="L40" s="60"/>
      <c r="M40" s="60"/>
      <c r="N40" s="60"/>
      <c r="O40" s="60"/>
      <c r="P40" s="60"/>
      <c r="Q40" s="60"/>
    </row>
    <row r="41" spans="9:17" ht="39.950000000000003" customHeight="1">
      <c r="P41" s="44">
        <f>SUM(P24:P36,P38)</f>
        <v>14.527573778975855</v>
      </c>
      <c r="Q41" s="244"/>
    </row>
    <row r="42" spans="9:17" ht="39.950000000000003" customHeight="1"/>
    <row r="43" spans="9:17" ht="39.950000000000003" customHeight="1"/>
    <row r="44" spans="9:17" ht="39.950000000000003" customHeight="1"/>
    <row r="45" spans="9:17" ht="39.950000000000003" customHeight="1"/>
    <row r="46" spans="9:17" ht="39.950000000000003" customHeight="1"/>
  </sheetData>
  <mergeCells count="5">
    <mergeCell ref="I37:Q37"/>
    <mergeCell ref="I39:Q39"/>
    <mergeCell ref="I21:Q21"/>
    <mergeCell ref="I23:Q23"/>
    <mergeCell ref="F3:T4"/>
  </mergeCells>
  <pageMargins left="0.69930555555555596" right="0.69930555555555596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2:R24"/>
  <sheetViews>
    <sheetView showGridLines="0" topLeftCell="A13" zoomScale="80" zoomScaleNormal="80" zoomScalePageLayoutView="80" workbookViewId="0">
      <selection activeCell="C21" sqref="C21"/>
    </sheetView>
  </sheetViews>
  <sheetFormatPr baseColWidth="10" defaultColWidth="9" defaultRowHeight="15"/>
  <cols>
    <col min="1" max="1" width="12" customWidth="1"/>
    <col min="2" max="2" width="13.28515625" customWidth="1"/>
    <col min="3" max="3" width="6.85546875" customWidth="1"/>
    <col min="4" max="4" width="3.42578125" customWidth="1"/>
    <col min="5" max="5" width="8.28515625" customWidth="1"/>
    <col min="6" max="6" width="9" customWidth="1"/>
    <col min="7" max="7" width="46.7109375" customWidth="1"/>
    <col min="8" max="8" width="24.42578125" customWidth="1"/>
    <col min="9" max="9" width="24.7109375" customWidth="1"/>
    <col min="10" max="10" width="25.140625" customWidth="1"/>
    <col min="12" max="12" width="9.85546875" bestFit="1" customWidth="1"/>
    <col min="13" max="13" width="16.28515625" customWidth="1"/>
    <col min="16" max="16" width="12" customWidth="1"/>
  </cols>
  <sheetData>
    <row r="2" spans="3:18" ht="15" customHeight="1">
      <c r="G2" s="9"/>
    </row>
    <row r="3" spans="3:18" ht="30" customHeight="1">
      <c r="D3" s="59"/>
      <c r="F3" s="59"/>
      <c r="G3" s="154" t="s">
        <v>167</v>
      </c>
      <c r="H3" s="154"/>
      <c r="I3" s="154"/>
      <c r="J3" s="154"/>
      <c r="K3" s="59"/>
      <c r="L3" s="59"/>
      <c r="M3" s="59"/>
      <c r="N3" s="59"/>
      <c r="O3" s="59"/>
      <c r="P3" s="59"/>
      <c r="Q3" s="59"/>
      <c r="R3" s="59"/>
    </row>
    <row r="4" spans="3:18" ht="30" customHeight="1">
      <c r="C4" s="59"/>
      <c r="D4" s="59"/>
      <c r="E4" s="59"/>
      <c r="F4" s="59"/>
      <c r="G4" s="154"/>
      <c r="H4" s="154"/>
      <c r="I4" s="154"/>
      <c r="J4" s="154"/>
      <c r="K4" s="59"/>
      <c r="L4" s="59"/>
      <c r="M4" s="59"/>
      <c r="N4" s="59"/>
      <c r="O4" s="59"/>
      <c r="P4" s="59"/>
      <c r="Q4" s="59"/>
      <c r="R4" s="59"/>
    </row>
    <row r="5" spans="3:18" ht="30" customHeight="1"/>
    <row r="6" spans="3:18" ht="30" customHeight="1"/>
    <row r="7" spans="3:18" ht="30" customHeight="1"/>
    <row r="8" spans="3:18" ht="30" customHeight="1"/>
    <row r="9" spans="3:18" ht="30" customHeight="1"/>
    <row r="10" spans="3:18" ht="30" customHeight="1"/>
    <row r="11" spans="3:18" ht="30" customHeight="1"/>
    <row r="12" spans="3:18" ht="30" customHeight="1"/>
    <row r="13" spans="3:18" ht="30" customHeight="1"/>
    <row r="14" spans="3:18" ht="30" customHeight="1"/>
    <row r="15" spans="3:18" ht="30" customHeight="1"/>
    <row r="16" spans="3:18" ht="30" customHeight="1"/>
    <row r="17" spans="7:10" ht="30" customHeight="1"/>
    <row r="18" spans="7:10" ht="30" customHeight="1"/>
    <row r="19" spans="7:10" ht="30" customHeight="1"/>
    <row r="20" spans="7:10" ht="39.950000000000003" customHeight="1"/>
    <row r="21" spans="7:10" ht="39.950000000000003" customHeight="1">
      <c r="G21" s="150" t="s">
        <v>150</v>
      </c>
      <c r="H21" s="152" t="s">
        <v>151</v>
      </c>
      <c r="I21" s="152"/>
      <c r="J21" s="153"/>
    </row>
    <row r="22" spans="7:10" ht="39.950000000000003" customHeight="1">
      <c r="G22" s="151"/>
      <c r="H22" s="104" t="s">
        <v>2</v>
      </c>
      <c r="I22" s="104" t="s">
        <v>4</v>
      </c>
      <c r="J22" s="105" t="s">
        <v>5</v>
      </c>
    </row>
    <row r="23" spans="7:10" ht="35.25" customHeight="1">
      <c r="G23" s="111">
        <v>2019</v>
      </c>
      <c r="H23" s="106">
        <f>'BN Valores_2019'!M7</f>
        <v>3.9542537789758558</v>
      </c>
      <c r="I23" s="106">
        <f>'BN Valores_2019'!M8</f>
        <v>10.573319999999999</v>
      </c>
      <c r="J23" s="110">
        <f t="shared" ref="J23" si="0">SUM(H23:I23)</f>
        <v>14.527573778975855</v>
      </c>
    </row>
    <row r="24" spans="7:10" ht="24.95" customHeight="1"/>
  </sheetData>
  <mergeCells count="3">
    <mergeCell ref="G21:G22"/>
    <mergeCell ref="H21:J21"/>
    <mergeCell ref="G3:J4"/>
  </mergeCells>
  <pageMargins left="0.69930555555555596" right="0.69930555555555596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46"/>
  <sheetViews>
    <sheetView showGridLines="0" zoomScale="70" zoomScaleNormal="70" zoomScalePageLayoutView="70" workbookViewId="0">
      <selection activeCell="O8" sqref="O8"/>
    </sheetView>
  </sheetViews>
  <sheetFormatPr baseColWidth="10" defaultColWidth="9" defaultRowHeight="15"/>
  <cols>
    <col min="1" max="1" width="2" customWidth="1"/>
    <col min="2" max="2" width="36.42578125" customWidth="1"/>
    <col min="3" max="3" width="38.85546875" customWidth="1"/>
    <col min="4" max="4" width="11.140625" customWidth="1"/>
    <col min="5" max="5" width="38.85546875" customWidth="1"/>
    <col min="6" max="23" width="12.7109375" customWidth="1"/>
    <col min="24" max="24" width="20.42578125" customWidth="1"/>
  </cols>
  <sheetData>
    <row r="1" spans="2:25" ht="7.5" customHeight="1"/>
    <row r="2" spans="2:25" ht="44.25" customHeight="1">
      <c r="D2" s="169" t="s">
        <v>6</v>
      </c>
      <c r="E2" s="169"/>
      <c r="F2" s="169"/>
      <c r="G2" s="169"/>
      <c r="H2" s="169"/>
      <c r="I2" s="169"/>
      <c r="J2" s="169"/>
      <c r="K2" s="169"/>
      <c r="L2" s="169"/>
      <c r="M2" s="169"/>
      <c r="N2" s="64"/>
      <c r="O2" s="64"/>
      <c r="P2" s="64"/>
      <c r="Q2" s="64"/>
      <c r="R2" s="64"/>
      <c r="S2" s="64"/>
    </row>
    <row r="3" spans="2:25" ht="36" customHeight="1">
      <c r="D3" s="64"/>
      <c r="E3" s="169" t="s">
        <v>181</v>
      </c>
      <c r="F3" s="169"/>
      <c r="G3" s="169"/>
      <c r="H3" s="169"/>
      <c r="I3" s="169"/>
      <c r="J3" s="169"/>
      <c r="K3" s="169"/>
      <c r="L3" s="169"/>
      <c r="M3" s="64"/>
      <c r="N3" s="64"/>
      <c r="O3" s="64"/>
      <c r="P3" s="64"/>
      <c r="Q3" s="64"/>
      <c r="R3" s="64"/>
      <c r="S3" s="64"/>
    </row>
    <row r="4" spans="2:25" ht="8.25" customHeight="1" thickBot="1"/>
    <row r="5" spans="2:25" ht="33.75" customHeight="1">
      <c r="C5" s="146" t="s">
        <v>96</v>
      </c>
      <c r="D5" s="170"/>
      <c r="E5" s="170"/>
      <c r="F5" s="147"/>
      <c r="G5" s="3" t="s">
        <v>97</v>
      </c>
      <c r="H5" s="3" t="s">
        <v>98</v>
      </c>
      <c r="I5" s="3" t="s">
        <v>99</v>
      </c>
      <c r="J5" s="3" t="s">
        <v>160</v>
      </c>
      <c r="K5" s="3" t="s">
        <v>161</v>
      </c>
      <c r="L5" s="3" t="s">
        <v>100</v>
      </c>
      <c r="M5" s="67" t="s">
        <v>134</v>
      </c>
    </row>
    <row r="6" spans="2:25" ht="33.75" customHeight="1">
      <c r="C6" s="171"/>
      <c r="D6" s="172"/>
      <c r="E6" s="172"/>
      <c r="F6" s="173"/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>
        <v>2016</v>
      </c>
    </row>
    <row r="7" spans="2:25" ht="33.75" customHeight="1">
      <c r="C7" s="174" t="s">
        <v>2</v>
      </c>
      <c r="D7" s="175"/>
      <c r="E7" s="175"/>
      <c r="F7" s="176"/>
      <c r="G7" s="18">
        <f>SUM(T16:T18,T23:T46)</f>
        <v>3.8160681710316364</v>
      </c>
      <c r="H7" s="18">
        <f>SUM(U16:U18,U23:U46)</f>
        <v>2.4975651319309098E-2</v>
      </c>
      <c r="I7" s="18">
        <f>SUM(V16:V46)</f>
        <v>0.1132099566249109</v>
      </c>
      <c r="J7" s="18">
        <f>SUM(W16:W18,W23:W45)</f>
        <v>0</v>
      </c>
      <c r="K7" s="18" t="s">
        <v>3</v>
      </c>
      <c r="L7" s="18" t="s">
        <v>3</v>
      </c>
      <c r="M7" s="49">
        <f>SUM(X16:X18,X23:X46)</f>
        <v>3.9542537789758558</v>
      </c>
    </row>
    <row r="8" spans="2:25" ht="33.75" customHeight="1">
      <c r="C8" s="174" t="s">
        <v>4</v>
      </c>
      <c r="D8" s="175"/>
      <c r="E8" s="175"/>
      <c r="F8" s="176"/>
      <c r="G8" s="18">
        <f>T19</f>
        <v>10.573319999999999</v>
      </c>
      <c r="H8" s="18" t="s">
        <v>3</v>
      </c>
      <c r="I8" s="18" t="s">
        <v>3</v>
      </c>
      <c r="J8" s="18" t="s">
        <v>3</v>
      </c>
      <c r="K8" s="18" t="s">
        <v>3</v>
      </c>
      <c r="L8" s="18" t="s">
        <v>3</v>
      </c>
      <c r="M8" s="49">
        <f>+X19</f>
        <v>10.573319999999999</v>
      </c>
    </row>
    <row r="9" spans="2:25" ht="33.75" customHeight="1" thickBot="1">
      <c r="C9" s="166" t="s">
        <v>93</v>
      </c>
      <c r="D9" s="167"/>
      <c r="E9" s="167"/>
      <c r="F9" s="168"/>
      <c r="G9" s="34" t="s">
        <v>3</v>
      </c>
      <c r="H9" s="34" t="s">
        <v>3</v>
      </c>
      <c r="I9" s="34" t="s">
        <v>3</v>
      </c>
      <c r="J9" s="34" t="s">
        <v>3</v>
      </c>
      <c r="K9" s="34" t="s">
        <v>3</v>
      </c>
      <c r="L9" s="34" t="s">
        <v>3</v>
      </c>
      <c r="M9" s="65" t="s">
        <v>3</v>
      </c>
    </row>
    <row r="10" spans="2:25" ht="33.75" customHeight="1" thickBot="1">
      <c r="C10" s="180" t="s">
        <v>131</v>
      </c>
      <c r="D10" s="181"/>
      <c r="E10" s="181"/>
      <c r="F10" s="182"/>
      <c r="G10" s="65">
        <f t="shared" ref="G10:M10" si="0">SUM(G7:G9)</f>
        <v>14.389388171031635</v>
      </c>
      <c r="H10" s="65">
        <f t="shared" si="0"/>
        <v>2.4975651319309098E-2</v>
      </c>
      <c r="I10" s="65">
        <f t="shared" si="0"/>
        <v>0.1132099566249109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90">
        <f t="shared" si="0"/>
        <v>14.527573778975855</v>
      </c>
    </row>
    <row r="11" spans="2:25" ht="18.75" customHeight="1"/>
    <row r="14" spans="2:25" ht="15.75" thickBot="1"/>
    <row r="15" spans="2:25" ht="51">
      <c r="B15" s="14" t="s">
        <v>40</v>
      </c>
      <c r="C15" s="183" t="s">
        <v>41</v>
      </c>
      <c r="D15" s="184"/>
      <c r="E15" s="185"/>
      <c r="F15" s="1" t="s">
        <v>7</v>
      </c>
      <c r="G15" s="2" t="s">
        <v>8</v>
      </c>
      <c r="H15" s="2" t="s">
        <v>9</v>
      </c>
      <c r="I15" s="2" t="s">
        <v>10</v>
      </c>
      <c r="J15" s="2" t="s">
        <v>11</v>
      </c>
      <c r="K15" s="2" t="s">
        <v>12</v>
      </c>
      <c r="L15" s="2" t="s">
        <v>13</v>
      </c>
      <c r="M15" s="2" t="s">
        <v>14</v>
      </c>
      <c r="N15" s="2" t="s">
        <v>15</v>
      </c>
      <c r="O15" s="2" t="s">
        <v>16</v>
      </c>
      <c r="P15" s="2" t="s">
        <v>17</v>
      </c>
      <c r="Q15" s="5" t="s">
        <v>18</v>
      </c>
      <c r="R15" s="186" t="s">
        <v>5</v>
      </c>
      <c r="S15" s="187"/>
      <c r="T15" s="7" t="s">
        <v>136</v>
      </c>
      <c r="U15" s="7" t="s">
        <v>139</v>
      </c>
      <c r="V15" s="7" t="s">
        <v>137</v>
      </c>
      <c r="W15" s="7" t="s">
        <v>138</v>
      </c>
      <c r="X15" s="8" t="s">
        <v>76</v>
      </c>
      <c r="Y15" s="19"/>
    </row>
    <row r="16" spans="2:25" ht="30.95" customHeight="1">
      <c r="B16" s="188" t="s">
        <v>42</v>
      </c>
      <c r="C16" s="177" t="s">
        <v>19</v>
      </c>
      <c r="D16" s="178"/>
      <c r="E16" s="179"/>
      <c r="F16" s="95">
        <v>0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  <c r="R16" s="38">
        <f>AVERAGE(F16:Q16)</f>
        <v>0</v>
      </c>
      <c r="S16" s="191">
        <f>SUM(R16:R17)</f>
        <v>0</v>
      </c>
      <c r="T16" s="191">
        <v>0</v>
      </c>
      <c r="U16" s="191">
        <f>((('Factores de emisión y PCG'!$E$11*(S16)))*'Factores de emisión y PCG'!$L$7)/1000/1000</f>
        <v>0</v>
      </c>
      <c r="V16" s="191">
        <v>0</v>
      </c>
      <c r="W16" s="191">
        <v>0</v>
      </c>
      <c r="X16" s="195">
        <f>SUM(T16:W17)</f>
        <v>0</v>
      </c>
      <c r="Y16" s="44">
        <f>+SUM(X16:X18)</f>
        <v>0</v>
      </c>
    </row>
    <row r="17" spans="2:25" ht="30.95" customHeight="1">
      <c r="B17" s="189"/>
      <c r="C17" s="177" t="s">
        <v>64</v>
      </c>
      <c r="D17" s="178"/>
      <c r="E17" s="179"/>
      <c r="F17" s="95">
        <v>0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  <c r="R17" s="38">
        <f>AVERAGE(F17:Q17)</f>
        <v>0</v>
      </c>
      <c r="S17" s="192"/>
      <c r="T17" s="192"/>
      <c r="U17" s="192"/>
      <c r="V17" s="192"/>
      <c r="W17" s="192"/>
      <c r="X17" s="196"/>
      <c r="Y17" s="10"/>
    </row>
    <row r="18" spans="2:25" ht="30.95" customHeight="1">
      <c r="B18" s="190"/>
      <c r="C18" s="177" t="s">
        <v>21</v>
      </c>
      <c r="D18" s="178"/>
      <c r="E18" s="179"/>
      <c r="F18" s="95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7"/>
      <c r="R18" s="193">
        <f>SUM(F18:Q18)</f>
        <v>0</v>
      </c>
      <c r="S18" s="194"/>
      <c r="T18" s="128">
        <v>0</v>
      </c>
      <c r="U18" s="128">
        <f>(((R18*'Factores de emisión y PCG'!$E$19)/1000/1000)*'Factores de emisión y PCG'!$L$7)</f>
        <v>0</v>
      </c>
      <c r="V18" s="128">
        <v>0</v>
      </c>
      <c r="W18" s="36">
        <v>0</v>
      </c>
      <c r="X18" s="129">
        <f>SUM(T18:W18)</f>
        <v>0</v>
      </c>
      <c r="Y18" s="10"/>
    </row>
    <row r="19" spans="2:25" ht="30.95" customHeight="1">
      <c r="B19" s="188" t="s">
        <v>43</v>
      </c>
      <c r="C19" s="198" t="s">
        <v>23</v>
      </c>
      <c r="D19" s="198" t="s">
        <v>24</v>
      </c>
      <c r="E19" s="116">
        <v>492079</v>
      </c>
      <c r="F19" s="117">
        <v>26800</v>
      </c>
      <c r="G19" s="99">
        <v>25040</v>
      </c>
      <c r="H19" s="99">
        <v>24640</v>
      </c>
      <c r="I19" s="99">
        <v>25920</v>
      </c>
      <c r="J19" s="99">
        <v>25280</v>
      </c>
      <c r="K19" s="99">
        <v>25920</v>
      </c>
      <c r="L19" s="99">
        <v>26640</v>
      </c>
      <c r="M19" s="99">
        <v>24960</v>
      </c>
      <c r="N19" s="99">
        <v>25120</v>
      </c>
      <c r="O19" s="99">
        <v>25120</v>
      </c>
      <c r="P19" s="99">
        <v>18480</v>
      </c>
      <c r="Q19" s="118">
        <v>15760</v>
      </c>
      <c r="R19" s="38">
        <f t="shared" ref="R19" si="1">SUM(F19:Q19)</f>
        <v>289680</v>
      </c>
      <c r="S19" s="191">
        <f>SUM(R19:R22)</f>
        <v>289680</v>
      </c>
      <c r="T19" s="191">
        <f>S19*'Factores de emisión y PCG'!$C$12/1000</f>
        <v>10.573319999999999</v>
      </c>
      <c r="U19" s="191">
        <v>0</v>
      </c>
      <c r="V19" s="191">
        <v>0</v>
      </c>
      <c r="W19" s="191">
        <v>0</v>
      </c>
      <c r="X19" s="195">
        <f>SUM(T19:W21)</f>
        <v>10.573319999999999</v>
      </c>
      <c r="Y19" s="44">
        <f>+X19</f>
        <v>10.573319999999999</v>
      </c>
    </row>
    <row r="20" spans="2:25" ht="30.95" customHeight="1">
      <c r="B20" s="189"/>
      <c r="C20" s="199"/>
      <c r="D20" s="199"/>
      <c r="E20" s="119" t="s">
        <v>3</v>
      </c>
      <c r="F20" s="98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  <c r="R20" s="38">
        <f t="shared" ref="R20:R25" si="2">SUM(F20:Q20)</f>
        <v>0</v>
      </c>
      <c r="S20" s="201"/>
      <c r="T20" s="201"/>
      <c r="U20" s="201"/>
      <c r="V20" s="201"/>
      <c r="W20" s="201"/>
      <c r="X20" s="202"/>
      <c r="Y20" s="10"/>
    </row>
    <row r="21" spans="2:25" ht="30.95" customHeight="1">
      <c r="B21" s="189"/>
      <c r="C21" s="199"/>
      <c r="D21" s="199"/>
      <c r="E21" s="120" t="s">
        <v>3</v>
      </c>
      <c r="F21" s="98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  <c r="R21" s="38">
        <f t="shared" si="2"/>
        <v>0</v>
      </c>
      <c r="S21" s="201"/>
      <c r="T21" s="201"/>
      <c r="U21" s="201"/>
      <c r="V21" s="201"/>
      <c r="W21" s="201"/>
      <c r="X21" s="202"/>
      <c r="Y21" s="10"/>
    </row>
    <row r="22" spans="2:25" ht="30.95" customHeight="1">
      <c r="B22" s="190"/>
      <c r="C22" s="200"/>
      <c r="D22" s="200"/>
      <c r="E22" s="121" t="s">
        <v>3</v>
      </c>
      <c r="F22" s="98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  <c r="R22" s="38">
        <f t="shared" si="2"/>
        <v>0</v>
      </c>
      <c r="S22" s="192"/>
      <c r="T22" s="192"/>
      <c r="U22" s="192"/>
      <c r="V22" s="192"/>
      <c r="W22" s="192"/>
      <c r="X22" s="196"/>
      <c r="Y22" s="19"/>
    </row>
    <row r="23" spans="2:25" ht="30.95" customHeight="1">
      <c r="B23" s="231" t="s">
        <v>170</v>
      </c>
      <c r="C23" s="233" t="s">
        <v>171</v>
      </c>
      <c r="D23" s="178"/>
      <c r="E23" s="179"/>
      <c r="F23" s="98">
        <v>1210.1456000000001</v>
      </c>
      <c r="G23" s="96"/>
      <c r="H23" s="99"/>
      <c r="I23" s="99"/>
      <c r="J23" s="99"/>
      <c r="K23" s="99"/>
      <c r="L23" s="99"/>
      <c r="M23" s="99"/>
      <c r="N23" s="99"/>
      <c r="O23" s="99"/>
      <c r="P23" s="99"/>
      <c r="Q23" s="118">
        <v>37.222999999999999</v>
      </c>
      <c r="R23" s="193">
        <f t="shared" si="2"/>
        <v>1247.3686</v>
      </c>
      <c r="S23" s="194"/>
      <c r="T23" s="39">
        <f>((R23*'Factores de emisión y PCG'!$C$8)/1000)*'Factores de emisión y PCG'!$K$7</f>
        <v>2.7828793465999997</v>
      </c>
      <c r="U23" s="39">
        <f>((R23*'Factores de emisión y PCG'!$E$8)/1000/1000)*'Factores de emisión y PCG'!$L$7</f>
        <v>2.3758629724200005E-2</v>
      </c>
      <c r="V23" s="39">
        <f>((R23*'Factores de emisión y PCG'!$G$8)/1000/1000)*'Factores de emisión y PCG'!$M$7</f>
        <v>0.10943164727799999</v>
      </c>
      <c r="W23" s="38">
        <v>0</v>
      </c>
      <c r="X23" s="40">
        <f t="shared" ref="X23:X46" si="3">SUM(T23:W23)</f>
        <v>2.9160696236021995</v>
      </c>
      <c r="Y23" s="19"/>
    </row>
    <row r="24" spans="2:25" ht="30.95" customHeight="1">
      <c r="B24" s="20" t="s">
        <v>45</v>
      </c>
      <c r="C24" s="177" t="s">
        <v>141</v>
      </c>
      <c r="D24" s="178"/>
      <c r="E24" s="197"/>
      <c r="F24" s="99"/>
      <c r="G24" s="99"/>
      <c r="H24" s="99"/>
      <c r="I24" s="99"/>
      <c r="J24" s="99">
        <f>145/11</f>
        <v>13.181818181818182</v>
      </c>
      <c r="K24" s="99"/>
      <c r="L24" s="99"/>
      <c r="M24" s="99"/>
      <c r="N24" s="99"/>
      <c r="O24" s="99"/>
      <c r="P24" s="99"/>
      <c r="Q24" s="118"/>
      <c r="R24" s="193">
        <f>SUM(F24:Q24)</f>
        <v>13.181818181818182</v>
      </c>
      <c r="S24" s="194"/>
      <c r="T24" s="39">
        <f>((R24*'Factores de emisión y PCG'!$C$8)/1000)*'Factores de emisión y PCG'!$K$7</f>
        <v>2.9408636363636362E-2</v>
      </c>
      <c r="U24" s="39">
        <f>((R24*'Factores de emisión y PCG'!$E$8)/1000/1000)*'Factores de emisión y PCG'!$L$7</f>
        <v>2.5107409090909091E-4</v>
      </c>
      <c r="V24" s="39">
        <f>((R24*'Factores de emisión y PCG'!$G$8)/1000/1000)*'Factores de emisión y PCG'!$M$7</f>
        <v>1.156440909090909E-3</v>
      </c>
      <c r="W24" s="38">
        <v>0</v>
      </c>
      <c r="X24" s="40">
        <f t="shared" si="3"/>
        <v>3.0816151363636361E-2</v>
      </c>
      <c r="Y24" s="19"/>
    </row>
    <row r="25" spans="2:25" ht="30.95" customHeight="1">
      <c r="B25" s="231" t="s">
        <v>173</v>
      </c>
      <c r="C25" s="233" t="s">
        <v>172</v>
      </c>
      <c r="D25" s="178"/>
      <c r="E25" s="197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193">
        <f t="shared" si="2"/>
        <v>0</v>
      </c>
      <c r="S25" s="194"/>
      <c r="T25" s="39">
        <f>((R25*'Factores de emisión y PCG'!$C$7)/1000)*'Factores de emisión y PCG'!$K$7</f>
        <v>0</v>
      </c>
      <c r="U25" s="39">
        <f>((R25*'Factores de emisión y PCG'!$E$7)/1000/1000)*'Factores de emisión y PCG'!$L$7</f>
        <v>0</v>
      </c>
      <c r="V25" s="39">
        <f>((R25*'Factores de emisión y PCG'!$G$7)/1000/1000)*'Factores de emisión y PCG'!$M$7</f>
        <v>0</v>
      </c>
      <c r="W25" s="38">
        <v>0</v>
      </c>
      <c r="X25" s="40">
        <f t="shared" si="3"/>
        <v>0</v>
      </c>
      <c r="Y25" s="19"/>
    </row>
    <row r="26" spans="2:25" ht="30.95" customHeight="1">
      <c r="B26" s="20" t="s">
        <v>48</v>
      </c>
      <c r="C26" s="177" t="s">
        <v>142</v>
      </c>
      <c r="D26" s="178"/>
      <c r="E26" s="197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193">
        <f>SUM(F26:Q26)</f>
        <v>0</v>
      </c>
      <c r="S26" s="194"/>
      <c r="T26" s="39">
        <f>((R26*'Factores de emisión y PCG'!$C$7)/1000)*'Factores de emisión y PCG'!$K$7</f>
        <v>0</v>
      </c>
      <c r="U26" s="39">
        <f>((R26*'Factores de emisión y PCG'!$E$7)/1000/1000)*'Factores de emisión y PCG'!$L$7</f>
        <v>0</v>
      </c>
      <c r="V26" s="39">
        <f>((R26*'Factores de emisión y PCG'!$G$7)/1000/1000)*'Factores de emisión y PCG'!$M$7</f>
        <v>0</v>
      </c>
      <c r="W26" s="38">
        <v>0</v>
      </c>
      <c r="X26" s="40">
        <f t="shared" si="3"/>
        <v>0</v>
      </c>
      <c r="Y26" s="19"/>
    </row>
    <row r="27" spans="2:25" ht="30.95" customHeight="1">
      <c r="B27" s="20" t="s">
        <v>49</v>
      </c>
      <c r="C27" s="177" t="s">
        <v>30</v>
      </c>
      <c r="D27" s="178"/>
      <c r="E27" s="197"/>
      <c r="F27" s="96">
        <v>73.38</v>
      </c>
      <c r="G27" s="96">
        <v>47.5</v>
      </c>
      <c r="H27" s="96"/>
      <c r="I27" s="96"/>
      <c r="J27" s="96">
        <v>20.95</v>
      </c>
      <c r="K27" s="96"/>
      <c r="L27" s="96"/>
      <c r="M27" s="96"/>
      <c r="N27" s="96"/>
      <c r="O27" s="96"/>
      <c r="P27" s="96">
        <v>191.3741</v>
      </c>
      <c r="Q27" s="96"/>
      <c r="R27" s="193">
        <f t="shared" ref="R27:R46" si="4">SUM(F27:Q27)</f>
        <v>333.20409999999998</v>
      </c>
      <c r="S27" s="194"/>
      <c r="T27" s="126">
        <f>((R27*'Factores de emisión y PCG'!$C$18)/1000)*'Factores de emisión y PCG'!$K$7</f>
        <v>0.87066231329999999</v>
      </c>
      <c r="U27" s="126">
        <f>((R27*'Factores de emisión y PCG'!$E$18)/1000/1000)*'Factores de emisión y PCG'!$L$7</f>
        <v>8.5366890419999984E-4</v>
      </c>
      <c r="V27" s="126">
        <f>((R27*'Factores de emisión y PCG'!$G$18)/1000/1000)*'Factores de emisión y PCG'!$M$7</f>
        <v>2.5224216778199997E-3</v>
      </c>
      <c r="W27" s="38">
        <v>0</v>
      </c>
      <c r="X27" s="40">
        <f t="shared" si="3"/>
        <v>0.87403840388202003</v>
      </c>
      <c r="Y27" s="19"/>
    </row>
    <row r="28" spans="2:25" ht="30.95" customHeight="1">
      <c r="B28" s="20" t="s">
        <v>50</v>
      </c>
      <c r="C28" s="177" t="s">
        <v>31</v>
      </c>
      <c r="D28" s="178"/>
      <c r="E28" s="197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  <c r="R28" s="193">
        <f t="shared" si="4"/>
        <v>0</v>
      </c>
      <c r="S28" s="194"/>
      <c r="T28" s="126">
        <f>((R28*'Factores de emisión y PCG'!$C$18)/1000)*'Factores de emisión y PCG'!$K$7</f>
        <v>0</v>
      </c>
      <c r="U28" s="126">
        <f>((R28*'Factores de emisión y PCG'!$E$18)/1000/1000)*'Factores de emisión y PCG'!$L$7</f>
        <v>0</v>
      </c>
      <c r="V28" s="126">
        <f>((R28*'Factores de emisión y PCG'!$G$18)/1000/1000)*'Factores de emisión y PCG'!$M$7</f>
        <v>0</v>
      </c>
      <c r="W28" s="38">
        <v>0</v>
      </c>
      <c r="X28" s="40">
        <f t="shared" si="3"/>
        <v>0</v>
      </c>
      <c r="Y28" s="19"/>
    </row>
    <row r="29" spans="2:25" ht="30.95" customHeight="1">
      <c r="B29" s="20" t="s">
        <v>61</v>
      </c>
      <c r="C29" s="177" t="s">
        <v>74</v>
      </c>
      <c r="D29" s="178"/>
      <c r="E29" s="197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  <c r="R29" s="193">
        <f t="shared" si="4"/>
        <v>0</v>
      </c>
      <c r="S29" s="194"/>
      <c r="T29" s="126">
        <f>((R29*'Factores de emisión y PCG'!$C$16)/1000)*'Factores de emisión y PCG'!$K$7</f>
        <v>0</v>
      </c>
      <c r="U29" s="126">
        <f>((R29*'Factores de emisión y PCG'!$E$16)/1000/1000)*'Factores de emisión y PCG'!$L$7</f>
        <v>0</v>
      </c>
      <c r="V29" s="126">
        <f>((R29*'Factores de emisión y PCG'!$G$16)/1000/1000)*'Factores de emisión y PCG'!$M$7</f>
        <v>0</v>
      </c>
      <c r="W29" s="38">
        <v>0</v>
      </c>
      <c r="X29" s="40">
        <f t="shared" si="3"/>
        <v>0</v>
      </c>
      <c r="Y29" s="19"/>
    </row>
    <row r="30" spans="2:25" ht="30.95" customHeight="1">
      <c r="B30" s="20" t="s">
        <v>73</v>
      </c>
      <c r="C30" s="123" t="s">
        <v>74</v>
      </c>
      <c r="D30" s="124"/>
      <c r="E30" s="12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  <c r="R30" s="193">
        <f>SUM(F30:Q30)</f>
        <v>0</v>
      </c>
      <c r="S30" s="194"/>
      <c r="T30" s="126">
        <f>R30*'Factores de emisión y PCG'!$C$20*'Factores de emisión y PCG'!$K$7/1000</f>
        <v>0</v>
      </c>
      <c r="U30" s="126">
        <f>S30*'Factores de emisión y PCG'!$E$20*'Factores de emisión y PCG'!$L$7/1000/1000</f>
        <v>0</v>
      </c>
      <c r="V30" s="126">
        <f>T30*'Factores de emisión y PCG'!$G$20*'Factores de emisión y PCG'!$M$7/1000/1000</f>
        <v>0</v>
      </c>
      <c r="W30" s="126">
        <v>0</v>
      </c>
      <c r="X30" s="40">
        <f t="shared" si="3"/>
        <v>0</v>
      </c>
      <c r="Y30" s="19"/>
    </row>
    <row r="31" spans="2:25" ht="30.95" customHeight="1">
      <c r="B31" s="20" t="s">
        <v>54</v>
      </c>
      <c r="C31" s="177" t="s">
        <v>32</v>
      </c>
      <c r="D31" s="178"/>
      <c r="E31" s="197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  <c r="R31" s="193">
        <f t="shared" si="4"/>
        <v>0</v>
      </c>
      <c r="S31" s="194"/>
      <c r="T31" s="126">
        <v>0</v>
      </c>
      <c r="U31" s="126">
        <v>0</v>
      </c>
      <c r="V31" s="126">
        <v>0</v>
      </c>
      <c r="W31" s="94">
        <f>((R31*'Factores de emisión y PCG'!$K$13)/1000)</f>
        <v>0</v>
      </c>
      <c r="X31" s="40">
        <f t="shared" si="3"/>
        <v>0</v>
      </c>
      <c r="Y31" s="19"/>
    </row>
    <row r="32" spans="2:25" ht="30.95" customHeight="1">
      <c r="B32" s="20" t="s">
        <v>55</v>
      </c>
      <c r="C32" s="177" t="s">
        <v>102</v>
      </c>
      <c r="D32" s="178"/>
      <c r="E32" s="197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  <c r="R32" s="193">
        <f t="shared" si="4"/>
        <v>0</v>
      </c>
      <c r="S32" s="194"/>
      <c r="T32" s="126">
        <v>0</v>
      </c>
      <c r="U32" s="126">
        <v>0</v>
      </c>
      <c r="V32" s="126">
        <v>0</v>
      </c>
      <c r="W32" s="94">
        <f>(R32*'Factores de emisión y PCG'!$K$13)/1000</f>
        <v>0</v>
      </c>
      <c r="X32" s="40">
        <f t="shared" si="3"/>
        <v>0</v>
      </c>
      <c r="Y32" s="19"/>
    </row>
    <row r="33" spans="2:25" ht="30.95" customHeight="1">
      <c r="B33" s="20" t="s">
        <v>57</v>
      </c>
      <c r="C33" s="177" t="s">
        <v>65</v>
      </c>
      <c r="D33" s="178"/>
      <c r="E33" s="197"/>
      <c r="F33" s="96"/>
      <c r="G33" s="96"/>
      <c r="H33" s="96"/>
      <c r="I33" s="96"/>
      <c r="J33" s="99"/>
      <c r="K33" s="96"/>
      <c r="L33" s="96"/>
      <c r="M33" s="96"/>
      <c r="N33" s="96"/>
      <c r="O33" s="99"/>
      <c r="P33" s="96"/>
      <c r="Q33" s="97"/>
      <c r="R33" s="193">
        <f t="shared" si="4"/>
        <v>0</v>
      </c>
      <c r="S33" s="194"/>
      <c r="T33" s="126">
        <v>0</v>
      </c>
      <c r="U33" s="126">
        <v>0</v>
      </c>
      <c r="V33" s="126">
        <v>0</v>
      </c>
      <c r="W33" s="126">
        <f>(R33*'Factores de emisión y PCG'!$K$9)/1000</f>
        <v>0</v>
      </c>
      <c r="X33" s="40">
        <f>SUM(T33:W33)</f>
        <v>0</v>
      </c>
      <c r="Y33" s="19"/>
    </row>
    <row r="34" spans="2:25" ht="30.95" customHeight="1">
      <c r="B34" s="20" t="s">
        <v>58</v>
      </c>
      <c r="C34" s="177" t="s">
        <v>103</v>
      </c>
      <c r="D34" s="178"/>
      <c r="E34" s="179"/>
      <c r="F34" s="98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193">
        <f t="shared" si="4"/>
        <v>0</v>
      </c>
      <c r="S34" s="194"/>
      <c r="T34" s="126">
        <v>0</v>
      </c>
      <c r="U34" s="126">
        <v>0</v>
      </c>
      <c r="V34" s="126">
        <v>0</v>
      </c>
      <c r="W34" s="126">
        <f>(R34*'Factores de emisión y PCG'!$K$13)/1000</f>
        <v>0</v>
      </c>
      <c r="X34" s="40">
        <f t="shared" si="3"/>
        <v>0</v>
      </c>
      <c r="Y34" s="19"/>
    </row>
    <row r="35" spans="2:25" ht="30.95" customHeight="1">
      <c r="B35" s="114" t="s">
        <v>157</v>
      </c>
      <c r="C35" s="203" t="s">
        <v>158</v>
      </c>
      <c r="D35" s="204"/>
      <c r="E35" s="205"/>
      <c r="F35" s="98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  <c r="R35" s="193">
        <f t="shared" si="4"/>
        <v>0</v>
      </c>
      <c r="S35" s="194"/>
      <c r="T35" s="126">
        <v>0</v>
      </c>
      <c r="U35" s="126">
        <v>0</v>
      </c>
      <c r="V35" s="126">
        <v>0</v>
      </c>
      <c r="W35" s="126">
        <f>(R35*'Factores de emisión y PCG'!$K$12)/1000</f>
        <v>0</v>
      </c>
      <c r="X35" s="40">
        <f t="shared" si="3"/>
        <v>0</v>
      </c>
      <c r="Y35" s="19"/>
    </row>
    <row r="36" spans="2:25" ht="30.95" customHeight="1">
      <c r="B36" s="20" t="s">
        <v>56</v>
      </c>
      <c r="C36" s="177" t="s">
        <v>105</v>
      </c>
      <c r="D36" s="178"/>
      <c r="E36" s="179"/>
      <c r="F36" s="98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193">
        <f t="shared" si="4"/>
        <v>0</v>
      </c>
      <c r="S36" s="194"/>
      <c r="T36" s="126">
        <v>0</v>
      </c>
      <c r="U36" s="126">
        <v>0</v>
      </c>
      <c r="V36" s="126">
        <v>0</v>
      </c>
      <c r="W36" s="126">
        <f>(R36*'Factores de emisión y PCG'!$K$10)/1000</f>
        <v>0</v>
      </c>
      <c r="X36" s="40">
        <f t="shared" si="3"/>
        <v>0</v>
      </c>
      <c r="Y36" s="19"/>
    </row>
    <row r="37" spans="2:25" ht="30.95" customHeight="1">
      <c r="B37" s="20" t="s">
        <v>77</v>
      </c>
      <c r="C37" s="177" t="s">
        <v>106</v>
      </c>
      <c r="D37" s="178"/>
      <c r="E37" s="179"/>
      <c r="F37" s="98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  <c r="R37" s="193">
        <f t="shared" si="4"/>
        <v>0</v>
      </c>
      <c r="S37" s="194"/>
      <c r="T37" s="126">
        <v>0</v>
      </c>
      <c r="U37" s="126">
        <v>0</v>
      </c>
      <c r="V37" s="126">
        <v>0</v>
      </c>
      <c r="W37" s="94">
        <f>(R37*'Factores de emisión y PCG'!$K$14)/1000</f>
        <v>0</v>
      </c>
      <c r="X37" s="40">
        <f t="shared" si="3"/>
        <v>0</v>
      </c>
      <c r="Y37" s="19"/>
    </row>
    <row r="38" spans="2:25" ht="30.95" customHeight="1">
      <c r="B38" s="20" t="s">
        <v>51</v>
      </c>
      <c r="C38" s="177" t="s">
        <v>66</v>
      </c>
      <c r="D38" s="178"/>
      <c r="E38" s="179"/>
      <c r="F38" s="98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  <c r="R38" s="193">
        <f t="shared" si="4"/>
        <v>0</v>
      </c>
      <c r="S38" s="194"/>
      <c r="T38" s="126">
        <f>((R38*'Factores de emisión y PCG'!$C$14)/1000)*'Factores de emisión y PCG'!$K$7</f>
        <v>0</v>
      </c>
      <c r="U38" s="126">
        <v>0</v>
      </c>
      <c r="V38" s="126">
        <v>0</v>
      </c>
      <c r="W38" s="94">
        <v>0</v>
      </c>
      <c r="X38" s="130">
        <f t="shared" si="3"/>
        <v>0</v>
      </c>
      <c r="Y38" s="19"/>
    </row>
    <row r="39" spans="2:25" ht="30.95" customHeight="1">
      <c r="B39" s="20" t="s">
        <v>52</v>
      </c>
      <c r="C39" s="177" t="s">
        <v>33</v>
      </c>
      <c r="D39" s="178"/>
      <c r="E39" s="179"/>
      <c r="F39" s="98"/>
      <c r="G39" s="96"/>
      <c r="H39" s="96"/>
      <c r="I39" s="96"/>
      <c r="J39" s="232">
        <v>60.566600000000001</v>
      </c>
      <c r="K39" s="96"/>
      <c r="L39" s="96"/>
      <c r="M39" s="96"/>
      <c r="N39" s="96"/>
      <c r="O39" s="96"/>
      <c r="P39" s="96"/>
      <c r="Q39" s="97"/>
      <c r="R39" s="193">
        <f t="shared" si="4"/>
        <v>60.566600000000001</v>
      </c>
      <c r="S39" s="194"/>
      <c r="T39" s="126">
        <f>((R39*'Factores de emisión y PCG'!$C$14)/1000)*'Factores de emisión y PCG'!$K$7</f>
        <v>3.0895022660000004E-2</v>
      </c>
      <c r="U39" s="126">
        <v>0</v>
      </c>
      <c r="V39" s="126">
        <v>0</v>
      </c>
      <c r="W39" s="94">
        <v>0</v>
      </c>
      <c r="X39" s="40">
        <f t="shared" si="3"/>
        <v>3.0895022660000004E-2</v>
      </c>
      <c r="Y39" s="19"/>
    </row>
    <row r="40" spans="2:25" ht="30.95" customHeight="1">
      <c r="B40" s="231" t="s">
        <v>175</v>
      </c>
      <c r="C40" s="177" t="s">
        <v>174</v>
      </c>
      <c r="D40" s="178"/>
      <c r="E40" s="179"/>
      <c r="F40" s="95">
        <f>0.95*14</f>
        <v>13.299999999999999</v>
      </c>
      <c r="G40" s="232"/>
      <c r="H40" s="232"/>
      <c r="I40" s="232"/>
      <c r="J40" s="232"/>
      <c r="K40" s="232"/>
      <c r="L40" s="232"/>
      <c r="M40" s="232"/>
      <c r="N40" s="232"/>
      <c r="O40" s="239"/>
      <c r="P40" s="232"/>
      <c r="Q40" s="234"/>
      <c r="R40" s="235">
        <f t="shared" si="4"/>
        <v>13.299999999999999</v>
      </c>
      <c r="S40" s="236"/>
      <c r="T40" s="143">
        <f>R40/1000*886/1000000*40.2*'Factores de emisión y PCG'!C15/1000</f>
        <v>3.4722852107999996E-2</v>
      </c>
      <c r="U40" s="143">
        <f>R40*'Factores de emisión y PCG'!E15*'Factores de emisión y PCG'!L7</f>
        <v>1.122786E-4</v>
      </c>
      <c r="V40" s="143">
        <f>R40*'Factores de emisión y PCG'!G15*'Factores de emisión y PCG'!M7</f>
        <v>9.9446759999999982E-5</v>
      </c>
      <c r="W40" s="237">
        <v>0</v>
      </c>
      <c r="X40" s="40">
        <f>SUM(T40:W40)</f>
        <v>3.4934577467999994E-2</v>
      </c>
      <c r="Y40" s="238"/>
    </row>
    <row r="41" spans="2:25" ht="30.95" customHeight="1">
      <c r="B41" s="20" t="s">
        <v>67</v>
      </c>
      <c r="C41" s="177" t="s">
        <v>34</v>
      </c>
      <c r="D41" s="178"/>
      <c r="E41" s="179"/>
      <c r="F41" s="98"/>
      <c r="G41" s="96"/>
      <c r="H41" s="96"/>
      <c r="I41" s="96"/>
      <c r="J41" s="99"/>
      <c r="K41" s="96"/>
      <c r="L41" s="96">
        <f>15*4.5</f>
        <v>67.5</v>
      </c>
      <c r="M41" s="96"/>
      <c r="N41" s="96"/>
      <c r="O41" s="96"/>
      <c r="P41" s="99"/>
      <c r="Q41" s="97"/>
      <c r="R41" s="193">
        <f t="shared" si="4"/>
        <v>67.5</v>
      </c>
      <c r="S41" s="194"/>
      <c r="T41" s="126">
        <f>R41/1000</f>
        <v>6.7500000000000004E-2</v>
      </c>
      <c r="U41" s="126">
        <v>0</v>
      </c>
      <c r="V41" s="126">
        <v>0</v>
      </c>
      <c r="W41" s="94">
        <v>0</v>
      </c>
      <c r="X41" s="40">
        <f t="shared" si="3"/>
        <v>6.7500000000000004E-2</v>
      </c>
      <c r="Y41" s="19"/>
    </row>
    <row r="42" spans="2:25" ht="30.95" customHeight="1">
      <c r="B42" s="231" t="s">
        <v>168</v>
      </c>
      <c r="C42" s="136" t="s">
        <v>164</v>
      </c>
      <c r="D42" s="131"/>
      <c r="E42" s="132"/>
      <c r="F42" s="98"/>
      <c r="G42" s="96"/>
      <c r="H42" s="96"/>
      <c r="I42" s="96"/>
      <c r="J42" s="99"/>
      <c r="K42" s="96"/>
      <c r="L42" s="96"/>
      <c r="M42" s="96"/>
      <c r="N42" s="96"/>
      <c r="O42" s="96"/>
      <c r="P42" s="99"/>
      <c r="Q42" s="135"/>
      <c r="R42" s="193">
        <f t="shared" ref="R42" si="5">SUM(F42:Q42)</f>
        <v>0</v>
      </c>
      <c r="S42" s="194"/>
      <c r="T42" s="133">
        <v>0</v>
      </c>
      <c r="U42" s="133">
        <v>0</v>
      </c>
      <c r="V42" s="133">
        <v>0</v>
      </c>
      <c r="W42" s="94">
        <f>R42*'Factores de emisión y PCG'!K15</f>
        <v>0</v>
      </c>
      <c r="X42" s="40">
        <f t="shared" si="3"/>
        <v>0</v>
      </c>
      <c r="Y42" s="19"/>
    </row>
    <row r="43" spans="2:25" ht="30.95" customHeight="1">
      <c r="B43" s="20" t="s">
        <v>68</v>
      </c>
      <c r="C43" s="177" t="s">
        <v>69</v>
      </c>
      <c r="D43" s="178"/>
      <c r="E43" s="179"/>
      <c r="F43" s="98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193">
        <f t="shared" si="4"/>
        <v>0</v>
      </c>
      <c r="S43" s="194"/>
      <c r="T43" s="126">
        <f>((((((R43*1000)/26)*2)*44)/1000)/1000)</f>
        <v>0</v>
      </c>
      <c r="U43" s="126">
        <v>0</v>
      </c>
      <c r="V43" s="126">
        <v>0</v>
      </c>
      <c r="W43" s="94">
        <v>0</v>
      </c>
      <c r="X43" s="40">
        <f t="shared" si="3"/>
        <v>0</v>
      </c>
      <c r="Y43" s="19"/>
    </row>
    <row r="44" spans="2:25" ht="30.95" customHeight="1">
      <c r="B44" s="20" t="s">
        <v>53</v>
      </c>
      <c r="C44" s="177" t="s">
        <v>35</v>
      </c>
      <c r="D44" s="178"/>
      <c r="E44" s="179"/>
      <c r="F44" s="98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193">
        <f t="shared" si="4"/>
        <v>0</v>
      </c>
      <c r="S44" s="194"/>
      <c r="T44" s="127">
        <f>(R44*'Factores de emisión y PCG'!$C$14)/1000</f>
        <v>0</v>
      </c>
      <c r="U44" s="127">
        <v>0</v>
      </c>
      <c r="V44" s="127">
        <v>0</v>
      </c>
      <c r="W44" s="42">
        <v>0</v>
      </c>
      <c r="X44" s="129">
        <f t="shared" si="3"/>
        <v>0</v>
      </c>
      <c r="Y44" s="19"/>
    </row>
    <row r="45" spans="2:25" ht="30.95" customHeight="1">
      <c r="B45" s="69" t="s">
        <v>70</v>
      </c>
      <c r="C45" s="177" t="s">
        <v>149</v>
      </c>
      <c r="D45" s="178"/>
      <c r="E45" s="179"/>
      <c r="F45" s="98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100"/>
      <c r="R45" s="193">
        <f t="shared" si="4"/>
        <v>0</v>
      </c>
      <c r="S45" s="194"/>
      <c r="T45" s="126">
        <f>(R45*'Factores de emisión y PCG'!$K$9)/1000</f>
        <v>0</v>
      </c>
      <c r="U45" s="126">
        <v>0</v>
      </c>
      <c r="V45" s="126">
        <v>0</v>
      </c>
      <c r="W45" s="94">
        <v>0</v>
      </c>
      <c r="X45" s="40">
        <f t="shared" si="3"/>
        <v>0</v>
      </c>
      <c r="Y45" s="19"/>
    </row>
    <row r="46" spans="2:25" ht="30.95" customHeight="1" thickBot="1">
      <c r="B46" s="80" t="s">
        <v>145</v>
      </c>
      <c r="C46" s="206" t="s">
        <v>146</v>
      </c>
      <c r="D46" s="207"/>
      <c r="E46" s="208"/>
      <c r="F46" s="101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3"/>
      <c r="R46" s="209">
        <f t="shared" si="4"/>
        <v>0</v>
      </c>
      <c r="S46" s="210"/>
      <c r="T46" s="122">
        <v>0</v>
      </c>
      <c r="U46" s="122">
        <f>((R46*'Factores de emisión y PCG'!$E$21)/1000/1000)*'Factores de emisión y PCG'!$L$7</f>
        <v>0</v>
      </c>
      <c r="V46" s="77">
        <v>0</v>
      </c>
      <c r="W46" s="78">
        <v>0</v>
      </c>
      <c r="X46" s="79">
        <f t="shared" si="3"/>
        <v>0</v>
      </c>
    </row>
  </sheetData>
  <mergeCells count="75">
    <mergeCell ref="R42:S42"/>
    <mergeCell ref="C46:E46"/>
    <mergeCell ref="R46:S46"/>
    <mergeCell ref="C43:E43"/>
    <mergeCell ref="R43:S43"/>
    <mergeCell ref="C44:E44"/>
    <mergeCell ref="R44:S44"/>
    <mergeCell ref="C45:E45"/>
    <mergeCell ref="R45:S45"/>
    <mergeCell ref="C38:E38"/>
    <mergeCell ref="R38:S38"/>
    <mergeCell ref="C39:E39"/>
    <mergeCell ref="R39:S39"/>
    <mergeCell ref="C41:E41"/>
    <mergeCell ref="R41:S41"/>
    <mergeCell ref="C40:E40"/>
    <mergeCell ref="R40:S40"/>
    <mergeCell ref="C35:E35"/>
    <mergeCell ref="R35:S35"/>
    <mergeCell ref="C36:E36"/>
    <mergeCell ref="R36:S36"/>
    <mergeCell ref="C37:E37"/>
    <mergeCell ref="R37:S37"/>
    <mergeCell ref="C32:E32"/>
    <mergeCell ref="R32:S32"/>
    <mergeCell ref="C33:E33"/>
    <mergeCell ref="R33:S33"/>
    <mergeCell ref="C34:E34"/>
    <mergeCell ref="R34:S34"/>
    <mergeCell ref="C31:E31"/>
    <mergeCell ref="R31:S31"/>
    <mergeCell ref="C25:E25"/>
    <mergeCell ref="R25:S25"/>
    <mergeCell ref="C26:E26"/>
    <mergeCell ref="R26:S26"/>
    <mergeCell ref="C27:E27"/>
    <mergeCell ref="R27:S27"/>
    <mergeCell ref="C28:E28"/>
    <mergeCell ref="R28:S28"/>
    <mergeCell ref="C29:E29"/>
    <mergeCell ref="R29:S29"/>
    <mergeCell ref="R30:S30"/>
    <mergeCell ref="V19:V22"/>
    <mergeCell ref="W19:W22"/>
    <mergeCell ref="X19:X22"/>
    <mergeCell ref="C23:E23"/>
    <mergeCell ref="R23:S23"/>
    <mergeCell ref="T19:T22"/>
    <mergeCell ref="U19:U22"/>
    <mergeCell ref="C24:E24"/>
    <mergeCell ref="R24:S24"/>
    <mergeCell ref="B19:B22"/>
    <mergeCell ref="C19:C22"/>
    <mergeCell ref="D19:D22"/>
    <mergeCell ref="S19:S22"/>
    <mergeCell ref="T16:T17"/>
    <mergeCell ref="U16:U17"/>
    <mergeCell ref="V16:V17"/>
    <mergeCell ref="W16:W17"/>
    <mergeCell ref="X16:X17"/>
    <mergeCell ref="C17:E17"/>
    <mergeCell ref="C10:F10"/>
    <mergeCell ref="C15:E15"/>
    <mergeCell ref="R15:S15"/>
    <mergeCell ref="B16:B18"/>
    <mergeCell ref="C16:E16"/>
    <mergeCell ref="S16:S17"/>
    <mergeCell ref="C18:E18"/>
    <mergeCell ref="R18:S18"/>
    <mergeCell ref="C9:F9"/>
    <mergeCell ref="D2:M2"/>
    <mergeCell ref="E3:L3"/>
    <mergeCell ref="C5:F6"/>
    <mergeCell ref="C7:F7"/>
    <mergeCell ref="C8:F8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R21"/>
  <sheetViews>
    <sheetView showGridLines="0" zoomScale="70" zoomScaleNormal="70" zoomScalePageLayoutView="70" workbookViewId="0">
      <selection activeCell="S12" sqref="S12"/>
    </sheetView>
  </sheetViews>
  <sheetFormatPr baseColWidth="10" defaultRowHeight="15"/>
  <cols>
    <col min="2" max="2" width="19.28515625" customWidth="1"/>
    <col min="4" max="4" width="23" customWidth="1"/>
    <col min="6" max="6" width="23" customWidth="1"/>
    <col min="8" max="8" width="23" customWidth="1"/>
  </cols>
  <sheetData>
    <row r="1" spans="2:18" ht="30" customHeight="1">
      <c r="C1" s="155" t="s">
        <v>126</v>
      </c>
      <c r="D1" s="155"/>
      <c r="E1" s="155"/>
      <c r="F1" s="155"/>
      <c r="G1" s="155"/>
      <c r="H1" s="155"/>
      <c r="I1" s="155"/>
      <c r="J1" s="155"/>
      <c r="K1" s="155"/>
      <c r="L1" s="51"/>
      <c r="M1" s="51"/>
      <c r="N1" s="51"/>
      <c r="O1" s="51"/>
      <c r="P1" s="51"/>
      <c r="Q1" s="51"/>
      <c r="R1" s="51"/>
    </row>
    <row r="2" spans="2:18" ht="30" customHeight="1">
      <c r="C2" s="155"/>
      <c r="D2" s="155"/>
      <c r="E2" s="155"/>
      <c r="F2" s="155"/>
      <c r="G2" s="155"/>
      <c r="H2" s="155"/>
      <c r="I2" s="155"/>
      <c r="J2" s="155"/>
      <c r="K2" s="155"/>
      <c r="L2" s="51"/>
      <c r="M2" s="51"/>
      <c r="N2" s="51"/>
      <c r="O2" s="51"/>
      <c r="P2" s="51"/>
      <c r="Q2" s="51"/>
      <c r="R2" s="51"/>
    </row>
    <row r="3" spans="2:18" ht="15.75" customHeight="1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8" ht="11.25" customHeight="1"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8" ht="45" customHeight="1">
      <c r="B5" s="164" t="s">
        <v>129</v>
      </c>
      <c r="C5" s="161" t="s">
        <v>128</v>
      </c>
      <c r="D5" s="162"/>
      <c r="E5" s="162"/>
      <c r="F5" s="162"/>
      <c r="G5" s="162"/>
      <c r="H5" s="163"/>
      <c r="I5" s="53"/>
      <c r="J5" s="161" t="s">
        <v>130</v>
      </c>
      <c r="K5" s="162"/>
      <c r="L5" s="162"/>
      <c r="M5" s="163"/>
      <c r="N5" s="53"/>
      <c r="O5" s="53"/>
      <c r="P5" s="53"/>
      <c r="Q5" s="53"/>
      <c r="R5" s="53"/>
    </row>
    <row r="6" spans="2:18" ht="36.75" customHeight="1">
      <c r="B6" s="165"/>
      <c r="C6" s="15" t="s">
        <v>97</v>
      </c>
      <c r="D6" s="15" t="s">
        <v>81</v>
      </c>
      <c r="E6" s="15" t="s">
        <v>127</v>
      </c>
      <c r="F6" s="15" t="s">
        <v>81</v>
      </c>
      <c r="G6" s="15" t="s">
        <v>99</v>
      </c>
      <c r="H6" s="15" t="s">
        <v>81</v>
      </c>
      <c r="I6" s="19"/>
      <c r="J6" s="58" t="s">
        <v>132</v>
      </c>
      <c r="K6" s="15" t="s">
        <v>97</v>
      </c>
      <c r="L6" s="15" t="s">
        <v>127</v>
      </c>
      <c r="M6" s="15" t="s">
        <v>99</v>
      </c>
    </row>
    <row r="7" spans="2:18" ht="45" customHeight="1">
      <c r="B7" s="54" t="s">
        <v>144</v>
      </c>
      <c r="C7" s="56">
        <v>2.613</v>
      </c>
      <c r="D7" s="56" t="s">
        <v>82</v>
      </c>
      <c r="E7" s="56">
        <v>0.14899999999999999</v>
      </c>
      <c r="F7" s="56" t="s">
        <v>84</v>
      </c>
      <c r="G7" s="56">
        <v>0.154</v>
      </c>
      <c r="H7" s="56" t="s">
        <v>86</v>
      </c>
      <c r="I7" s="19"/>
      <c r="J7" s="54" t="s">
        <v>20</v>
      </c>
      <c r="K7" s="61">
        <v>1</v>
      </c>
      <c r="L7" s="61">
        <v>21</v>
      </c>
      <c r="M7" s="61">
        <v>310</v>
      </c>
    </row>
    <row r="8" spans="2:18" ht="45" customHeight="1">
      <c r="B8" s="54" t="s">
        <v>88</v>
      </c>
      <c r="C8" s="56">
        <v>2.2309999999999999</v>
      </c>
      <c r="D8" s="56" t="s">
        <v>82</v>
      </c>
      <c r="E8" s="56">
        <v>0.90700000000000003</v>
      </c>
      <c r="F8" s="56" t="s">
        <v>84</v>
      </c>
      <c r="G8" s="56">
        <v>0.28299999999999997</v>
      </c>
      <c r="H8" s="56" t="s">
        <v>86</v>
      </c>
      <c r="I8" s="19"/>
      <c r="J8" s="161" t="s">
        <v>133</v>
      </c>
      <c r="K8" s="162"/>
      <c r="L8" s="162"/>
      <c r="M8" s="163"/>
    </row>
    <row r="9" spans="2:18" ht="45" customHeight="1">
      <c r="B9" s="54" t="s">
        <v>89</v>
      </c>
      <c r="C9" s="56">
        <v>2.613</v>
      </c>
      <c r="D9" s="56" t="s">
        <v>82</v>
      </c>
      <c r="E9" s="56">
        <v>0.38200000000000001</v>
      </c>
      <c r="F9" s="56" t="s">
        <v>84</v>
      </c>
      <c r="G9" s="56">
        <v>2.4420000000000001E-2</v>
      </c>
      <c r="H9" s="56" t="s">
        <v>86</v>
      </c>
      <c r="I9" s="19"/>
      <c r="J9" s="62" t="s">
        <v>22</v>
      </c>
      <c r="K9" s="57">
        <v>1500</v>
      </c>
      <c r="L9" s="63" t="s">
        <v>3</v>
      </c>
      <c r="M9" s="63" t="s">
        <v>3</v>
      </c>
    </row>
    <row r="10" spans="2:18" ht="45" customHeight="1">
      <c r="B10" s="54" t="s">
        <v>90</v>
      </c>
      <c r="C10" s="56">
        <v>2.2309999999999999</v>
      </c>
      <c r="D10" s="56" t="s">
        <v>82</v>
      </c>
      <c r="E10" s="56">
        <v>0.34599999999999997</v>
      </c>
      <c r="F10" s="56" t="s">
        <v>84</v>
      </c>
      <c r="G10" s="56">
        <v>2.2110000000000001E-2</v>
      </c>
      <c r="H10" s="56" t="s">
        <v>86</v>
      </c>
      <c r="I10" s="19"/>
      <c r="J10" s="62" t="s">
        <v>25</v>
      </c>
      <c r="K10" s="57">
        <v>1725</v>
      </c>
      <c r="L10" s="63" t="s">
        <v>3</v>
      </c>
      <c r="M10" s="63" t="s">
        <v>3</v>
      </c>
    </row>
    <row r="11" spans="2:18" ht="45" customHeight="1">
      <c r="B11" s="54" t="s">
        <v>79</v>
      </c>
      <c r="C11" s="56" t="s">
        <v>92</v>
      </c>
      <c r="D11" s="56" t="s">
        <v>92</v>
      </c>
      <c r="E11" s="56">
        <v>4380</v>
      </c>
      <c r="F11" s="56" t="s">
        <v>85</v>
      </c>
      <c r="G11" s="56" t="s">
        <v>92</v>
      </c>
      <c r="H11" s="56" t="s">
        <v>92</v>
      </c>
      <c r="I11" s="19"/>
      <c r="J11" s="62" t="s">
        <v>27</v>
      </c>
      <c r="K11" s="115">
        <v>3260</v>
      </c>
      <c r="L11" s="63" t="s">
        <v>3</v>
      </c>
      <c r="M11" s="63" t="s">
        <v>3</v>
      </c>
    </row>
    <row r="12" spans="2:18" ht="45" customHeight="1">
      <c r="B12" s="68" t="s">
        <v>169</v>
      </c>
      <c r="C12" s="56">
        <v>3.6499999999999998E-2</v>
      </c>
      <c r="D12" s="56" t="s">
        <v>83</v>
      </c>
      <c r="E12" s="56" t="s">
        <v>92</v>
      </c>
      <c r="F12" s="56" t="s">
        <v>92</v>
      </c>
      <c r="G12" s="56" t="s">
        <v>92</v>
      </c>
      <c r="H12" s="56" t="s">
        <v>92</v>
      </c>
      <c r="I12" s="19"/>
      <c r="J12" s="62" t="s">
        <v>26</v>
      </c>
      <c r="K12" s="115">
        <v>1526</v>
      </c>
      <c r="L12" s="63" t="s">
        <v>3</v>
      </c>
      <c r="M12" s="63" t="s">
        <v>3</v>
      </c>
    </row>
    <row r="13" spans="2:18" ht="45" customHeight="1">
      <c r="B13" s="54" t="s">
        <v>143</v>
      </c>
      <c r="C13" s="56">
        <v>7.5399999999999995E-2</v>
      </c>
      <c r="D13" s="56" t="s">
        <v>83</v>
      </c>
      <c r="E13" s="56" t="s">
        <v>92</v>
      </c>
      <c r="F13" s="56" t="s">
        <v>92</v>
      </c>
      <c r="G13" s="56" t="s">
        <v>92</v>
      </c>
      <c r="H13" s="56" t="s">
        <v>92</v>
      </c>
      <c r="I13" s="19"/>
      <c r="J13" s="62" t="s">
        <v>37</v>
      </c>
      <c r="K13" s="57">
        <v>1300</v>
      </c>
      <c r="L13" s="63" t="s">
        <v>3</v>
      </c>
      <c r="M13" s="63" t="s">
        <v>3</v>
      </c>
    </row>
    <row r="14" spans="2:18" ht="45" customHeight="1">
      <c r="B14" s="54" t="s">
        <v>80</v>
      </c>
      <c r="C14" s="56">
        <v>0.5101</v>
      </c>
      <c r="D14" s="56" t="s">
        <v>87</v>
      </c>
      <c r="E14" s="56"/>
      <c r="F14" s="56" t="s">
        <v>92</v>
      </c>
      <c r="G14" s="56" t="s">
        <v>92</v>
      </c>
      <c r="H14" s="56" t="s">
        <v>92</v>
      </c>
      <c r="I14" s="19"/>
      <c r="J14" s="62" t="s">
        <v>38</v>
      </c>
      <c r="K14" s="134">
        <v>782</v>
      </c>
      <c r="L14" s="63" t="s">
        <v>3</v>
      </c>
      <c r="M14" s="63" t="s">
        <v>3</v>
      </c>
    </row>
    <row r="15" spans="2:18" ht="45" customHeight="1">
      <c r="B15" s="68" t="s">
        <v>175</v>
      </c>
      <c r="C15" s="56">
        <v>73300</v>
      </c>
      <c r="D15" s="56" t="s">
        <v>176</v>
      </c>
      <c r="E15" s="56">
        <v>4.0200000000000003E-7</v>
      </c>
      <c r="F15" s="56" t="s">
        <v>177</v>
      </c>
      <c r="G15" s="56">
        <v>2.412E-8</v>
      </c>
      <c r="H15" s="56" t="s">
        <v>178</v>
      </c>
      <c r="I15" s="19"/>
      <c r="J15" s="62" t="s">
        <v>163</v>
      </c>
      <c r="K15" s="134">
        <v>2900</v>
      </c>
      <c r="L15" s="63" t="s">
        <v>3</v>
      </c>
      <c r="M15" s="63" t="s">
        <v>3</v>
      </c>
    </row>
    <row r="16" spans="2:18" ht="55.5" customHeight="1">
      <c r="B16" s="54" t="s">
        <v>94</v>
      </c>
      <c r="C16" s="56">
        <v>1.611</v>
      </c>
      <c r="D16" s="56" t="s">
        <v>82</v>
      </c>
      <c r="E16" s="56">
        <v>0.13900000000000001</v>
      </c>
      <c r="F16" s="56" t="s">
        <v>84</v>
      </c>
      <c r="G16" s="56">
        <v>2.745E-3</v>
      </c>
      <c r="H16" s="56" t="s">
        <v>86</v>
      </c>
      <c r="I16" s="238"/>
      <c r="J16" s="10" t="s">
        <v>179</v>
      </c>
      <c r="K16" s="10"/>
      <c r="L16" s="10" t="s">
        <v>3</v>
      </c>
      <c r="M16" s="10"/>
      <c r="N16" s="10" t="s">
        <v>180</v>
      </c>
      <c r="O16" s="10"/>
      <c r="P16" s="10"/>
    </row>
    <row r="17" spans="2:16" ht="55.5" customHeight="1">
      <c r="B17" s="54" t="s">
        <v>28</v>
      </c>
      <c r="C17" s="56" t="s">
        <v>75</v>
      </c>
      <c r="D17" s="56" t="s">
        <v>92</v>
      </c>
      <c r="E17" s="56" t="s">
        <v>92</v>
      </c>
      <c r="F17" s="56" t="s">
        <v>92</v>
      </c>
      <c r="G17" s="56" t="s">
        <v>92</v>
      </c>
      <c r="H17" s="56" t="s">
        <v>92</v>
      </c>
      <c r="I17" s="238"/>
      <c r="J17" s="10"/>
      <c r="K17" s="10"/>
      <c r="L17" s="10"/>
      <c r="M17" s="10"/>
      <c r="N17" s="10"/>
      <c r="O17" s="10"/>
      <c r="P17" s="10"/>
    </row>
    <row r="18" spans="2:16" ht="45" customHeight="1">
      <c r="B18" s="54" t="s">
        <v>78</v>
      </c>
      <c r="C18" s="56">
        <v>2.613</v>
      </c>
      <c r="D18" s="56" t="s">
        <v>82</v>
      </c>
      <c r="E18" s="56">
        <v>0.122</v>
      </c>
      <c r="F18" s="56" t="s">
        <v>84</v>
      </c>
      <c r="G18" s="56">
        <v>2.4420000000000001E-2</v>
      </c>
      <c r="H18" s="56" t="s">
        <v>86</v>
      </c>
      <c r="I18" s="19"/>
      <c r="J18" s="19"/>
      <c r="K18" s="19"/>
      <c r="L18" s="19"/>
      <c r="M18" s="19"/>
    </row>
    <row r="19" spans="2:16" ht="45" customHeight="1">
      <c r="B19" s="54" t="s">
        <v>39</v>
      </c>
      <c r="C19" s="56" t="s">
        <v>92</v>
      </c>
      <c r="D19" s="56" t="s">
        <v>92</v>
      </c>
      <c r="E19" s="56">
        <v>876</v>
      </c>
      <c r="F19" s="56" t="s">
        <v>85</v>
      </c>
      <c r="G19" s="56" t="s">
        <v>92</v>
      </c>
      <c r="H19" s="56" t="s">
        <v>92</v>
      </c>
      <c r="I19" s="19"/>
      <c r="J19" s="19"/>
      <c r="K19" s="19"/>
      <c r="L19" s="19"/>
      <c r="M19" s="19"/>
    </row>
    <row r="20" spans="2:16" ht="45" customHeight="1">
      <c r="B20" s="54" t="s">
        <v>91</v>
      </c>
      <c r="C20" s="56">
        <v>1.611</v>
      </c>
      <c r="D20" s="56" t="s">
        <v>82</v>
      </c>
      <c r="E20" s="56">
        <v>1.5834999999999999</v>
      </c>
      <c r="F20" s="56" t="s">
        <v>84</v>
      </c>
      <c r="G20" s="56">
        <v>5.1000000000000004E-3</v>
      </c>
      <c r="H20" s="56" t="s">
        <v>86</v>
      </c>
      <c r="I20" s="19"/>
      <c r="J20" s="19"/>
      <c r="K20" s="19"/>
      <c r="L20" s="19"/>
      <c r="M20" s="19"/>
    </row>
    <row r="21" spans="2:16" ht="45" customHeight="1">
      <c r="B21" s="68" t="s">
        <v>147</v>
      </c>
      <c r="C21" s="56" t="s">
        <v>92</v>
      </c>
      <c r="D21" s="56" t="s">
        <v>92</v>
      </c>
      <c r="E21" s="56">
        <v>58.1</v>
      </c>
      <c r="F21" s="56" t="s">
        <v>148</v>
      </c>
      <c r="G21" s="76" t="s">
        <v>92</v>
      </c>
      <c r="H21" s="76" t="s">
        <v>92</v>
      </c>
      <c r="I21" s="19"/>
    </row>
  </sheetData>
  <mergeCells count="5">
    <mergeCell ref="C1:K2"/>
    <mergeCell ref="C5:H5"/>
    <mergeCell ref="B5:B6"/>
    <mergeCell ref="J5:M5"/>
    <mergeCell ref="J8:M8"/>
  </mergeCells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5"/>
  <dimension ref="B1:Z58"/>
  <sheetViews>
    <sheetView showGridLines="0" topLeftCell="D39" zoomScale="70" zoomScaleNormal="70" zoomScalePageLayoutView="70" workbookViewId="0">
      <selection activeCell="U32" sqref="U32"/>
    </sheetView>
  </sheetViews>
  <sheetFormatPr baseColWidth="10" defaultColWidth="9" defaultRowHeight="15"/>
  <cols>
    <col min="1" max="1" width="2" customWidth="1"/>
    <col min="2" max="2" width="35.7109375" customWidth="1"/>
    <col min="3" max="3" width="38.85546875" customWidth="1"/>
    <col min="4" max="4" width="11.140625" customWidth="1"/>
    <col min="5" max="5" width="38.85546875" customWidth="1"/>
    <col min="6" max="23" width="12.7109375" customWidth="1"/>
    <col min="24" max="24" width="14.7109375" customWidth="1"/>
  </cols>
  <sheetData>
    <row r="1" spans="3:19" ht="7.5" customHeight="1"/>
    <row r="2" spans="3:19" ht="44.25" customHeight="1">
      <c r="D2" s="169" t="s">
        <v>6</v>
      </c>
      <c r="E2" s="169"/>
      <c r="F2" s="169"/>
      <c r="G2" s="169"/>
      <c r="H2" s="169"/>
      <c r="I2" s="169"/>
      <c r="J2" s="169"/>
      <c r="K2" s="169"/>
      <c r="L2" s="169"/>
      <c r="M2" s="64"/>
      <c r="N2" s="64"/>
      <c r="O2" s="64"/>
      <c r="P2" s="64"/>
      <c r="Q2" s="52"/>
      <c r="R2" s="52"/>
      <c r="S2" s="52"/>
    </row>
    <row r="3" spans="3:19" ht="36" customHeight="1">
      <c r="D3" s="169" t="s">
        <v>60</v>
      </c>
      <c r="E3" s="169"/>
      <c r="F3" s="169"/>
      <c r="G3" s="169"/>
      <c r="H3" s="169"/>
      <c r="I3" s="169"/>
      <c r="J3" s="169"/>
      <c r="K3" s="169"/>
      <c r="L3" s="169"/>
      <c r="M3" s="64"/>
      <c r="N3" s="64"/>
      <c r="O3" s="64"/>
      <c r="P3" s="64"/>
      <c r="Q3" s="52"/>
      <c r="R3" s="52"/>
      <c r="S3" s="52"/>
    </row>
    <row r="4" spans="3:19" ht="8.25" customHeight="1"/>
    <row r="5" spans="3:19" ht="27.75" customHeight="1" thickBot="1"/>
    <row r="6" spans="3:19" ht="33.75" customHeight="1">
      <c r="C6" s="146" t="s">
        <v>96</v>
      </c>
      <c r="D6" s="170"/>
      <c r="E6" s="170"/>
      <c r="F6" s="147"/>
      <c r="G6" s="3" t="s">
        <v>97</v>
      </c>
      <c r="H6" s="3" t="s">
        <v>98</v>
      </c>
      <c r="I6" s="3" t="s">
        <v>99</v>
      </c>
      <c r="J6" s="3" t="s">
        <v>71</v>
      </c>
      <c r="K6" s="3" t="s">
        <v>72</v>
      </c>
      <c r="L6" s="3" t="s">
        <v>100</v>
      </c>
      <c r="M6" s="17" t="s">
        <v>101</v>
      </c>
      <c r="N6" s="66" t="s">
        <v>135</v>
      </c>
    </row>
    <row r="7" spans="3:19" ht="33.75" customHeight="1">
      <c r="C7" s="171"/>
      <c r="D7" s="172"/>
      <c r="E7" s="172"/>
      <c r="F7" s="173"/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6" t="s">
        <v>1</v>
      </c>
      <c r="N7" s="4">
        <v>2017</v>
      </c>
    </row>
    <row r="8" spans="3:19" ht="33.75" customHeight="1">
      <c r="C8" s="174" t="s">
        <v>2</v>
      </c>
      <c r="D8" s="175"/>
      <c r="E8" s="175"/>
      <c r="F8" s="176"/>
      <c r="G8" s="18">
        <f>SUM(T30:T32,T37:T57)</f>
        <v>2.5029945900000001</v>
      </c>
      <c r="H8" s="18">
        <f>SUM(U30:U32,U37:U57)</f>
        <v>0</v>
      </c>
      <c r="I8" s="18">
        <f>SUM(V30:V32,V37:V57)</f>
        <v>3.9572344467900003E-6</v>
      </c>
      <c r="J8" s="18">
        <f>SUM(W30:W32,W37:W57)</f>
        <v>0</v>
      </c>
      <c r="K8" s="18" t="s">
        <v>3</v>
      </c>
      <c r="L8" s="18" t="s">
        <v>3</v>
      </c>
      <c r="M8" s="33" t="s">
        <v>3</v>
      </c>
      <c r="N8" s="49">
        <f>SUM(X30:X32,X37:X57,)</f>
        <v>2.5029985472344469</v>
      </c>
    </row>
    <row r="9" spans="3:19" ht="33.75" customHeight="1">
      <c r="C9" s="174" t="s">
        <v>4</v>
      </c>
      <c r="D9" s="175"/>
      <c r="E9" s="175"/>
      <c r="F9" s="176"/>
      <c r="G9" s="18">
        <f>+T33</f>
        <v>0</v>
      </c>
      <c r="H9" s="18" t="s">
        <v>3</v>
      </c>
      <c r="I9" s="18" t="s">
        <v>3</v>
      </c>
      <c r="J9" s="18" t="s">
        <v>3</v>
      </c>
      <c r="K9" s="18" t="s">
        <v>3</v>
      </c>
      <c r="L9" s="18" t="s">
        <v>3</v>
      </c>
      <c r="M9" s="33" t="s">
        <v>3</v>
      </c>
      <c r="N9" s="49">
        <f>+X33</f>
        <v>0</v>
      </c>
    </row>
    <row r="10" spans="3:19" ht="33.75" customHeight="1" thickBot="1">
      <c r="C10" s="166" t="s">
        <v>95</v>
      </c>
      <c r="D10" s="167"/>
      <c r="E10" s="167"/>
      <c r="F10" s="168"/>
      <c r="G10" s="34" t="s">
        <v>3</v>
      </c>
      <c r="H10" s="34" t="s">
        <v>3</v>
      </c>
      <c r="I10" s="34" t="s">
        <v>3</v>
      </c>
      <c r="J10" s="34" t="s">
        <v>3</v>
      </c>
      <c r="K10" s="34" t="s">
        <v>3</v>
      </c>
      <c r="L10" s="34" t="s">
        <v>3</v>
      </c>
      <c r="M10" s="35" t="s">
        <v>3</v>
      </c>
      <c r="N10" s="65" t="s">
        <v>3</v>
      </c>
    </row>
    <row r="11" spans="3:19" ht="33.75" customHeight="1" thickBot="1">
      <c r="C11" s="180" t="s">
        <v>131</v>
      </c>
      <c r="D11" s="181"/>
      <c r="E11" s="181"/>
      <c r="F11" s="182"/>
      <c r="G11" s="65">
        <f>SUM(G8:G10)</f>
        <v>2.5029945900000001</v>
      </c>
      <c r="H11" s="65">
        <f t="shared" ref="H11:M11" si="0">SUM(H8:H10)</f>
        <v>0</v>
      </c>
      <c r="I11" s="65">
        <f t="shared" si="0"/>
        <v>3.9572344467900003E-6</v>
      </c>
      <c r="J11" s="65">
        <f t="shared" si="0"/>
        <v>0</v>
      </c>
      <c r="K11" s="65">
        <f t="shared" si="0"/>
        <v>0</v>
      </c>
      <c r="L11" s="65">
        <f t="shared" si="0"/>
        <v>0</v>
      </c>
      <c r="M11" s="65">
        <f t="shared" si="0"/>
        <v>0</v>
      </c>
      <c r="N11" s="65">
        <f>SUM(N8:N10)</f>
        <v>2.5029985472344469</v>
      </c>
    </row>
    <row r="12" spans="3:19" ht="18.75" customHeight="1"/>
    <row r="13" spans="3:19" ht="18.75" customHeight="1"/>
    <row r="14" spans="3:19" ht="18.75" customHeight="1"/>
    <row r="15" spans="3:19" ht="45" customHeight="1">
      <c r="L15" s="13" t="s">
        <v>0</v>
      </c>
      <c r="M15" s="4" t="s">
        <v>36</v>
      </c>
    </row>
    <row r="16" spans="3:19" ht="15" customHeight="1">
      <c r="L16" t="e">
        <f>+#REF!+#REF!</f>
        <v>#REF!</v>
      </c>
      <c r="M16">
        <f>+N8+N9</f>
        <v>2.5029985472344469</v>
      </c>
    </row>
    <row r="28" spans="2:26" ht="15.75" thickBot="1"/>
    <row r="29" spans="2:26" ht="36">
      <c r="B29" s="14" t="s">
        <v>40</v>
      </c>
      <c r="C29" s="183" t="s">
        <v>41</v>
      </c>
      <c r="D29" s="184"/>
      <c r="E29" s="227"/>
      <c r="F29" s="1" t="s">
        <v>7</v>
      </c>
      <c r="G29" s="2" t="s">
        <v>8</v>
      </c>
      <c r="H29" s="2" t="s">
        <v>9</v>
      </c>
      <c r="I29" s="2" t="s">
        <v>10</v>
      </c>
      <c r="J29" s="2" t="s">
        <v>11</v>
      </c>
      <c r="K29" s="2" t="s">
        <v>12</v>
      </c>
      <c r="L29" s="2" t="s">
        <v>13</v>
      </c>
      <c r="M29" s="2" t="s">
        <v>14</v>
      </c>
      <c r="N29" s="2" t="s">
        <v>15</v>
      </c>
      <c r="O29" s="2" t="s">
        <v>16</v>
      </c>
      <c r="P29" s="2" t="s">
        <v>17</v>
      </c>
      <c r="Q29" s="5" t="s">
        <v>18</v>
      </c>
      <c r="R29" s="225" t="s">
        <v>5</v>
      </c>
      <c r="S29" s="226"/>
      <c r="T29" s="7" t="s">
        <v>140</v>
      </c>
      <c r="U29" s="7" t="s">
        <v>139</v>
      </c>
      <c r="V29" s="7" t="s">
        <v>137</v>
      </c>
      <c r="W29" s="7" t="s">
        <v>138</v>
      </c>
      <c r="X29" s="8" t="s">
        <v>76</v>
      </c>
      <c r="Y29" s="19"/>
      <c r="Z29" s="19"/>
    </row>
    <row r="30" spans="2:26" ht="30.95" customHeight="1">
      <c r="B30" s="188" t="s">
        <v>42</v>
      </c>
      <c r="C30" s="221" t="s">
        <v>19</v>
      </c>
      <c r="D30" s="222"/>
      <c r="E30" s="224"/>
      <c r="F30" s="16">
        <v>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43">
        <f>AVERAGE(F30:Q30)</f>
        <v>0</v>
      </c>
      <c r="S30" s="191">
        <f>SUM(R30:R31)</f>
        <v>0</v>
      </c>
      <c r="T30" s="191">
        <v>0</v>
      </c>
      <c r="U30" s="191">
        <f>((('Factores de emisión y PCG'!$E$19*(S30)))*'Factores de emisión y PCG'!$L$7)/1000/1000</f>
        <v>0</v>
      </c>
      <c r="V30" s="191">
        <v>0</v>
      </c>
      <c r="W30" s="191">
        <v>0</v>
      </c>
      <c r="X30" s="195">
        <f>SUM(T30:W31)</f>
        <v>0</v>
      </c>
      <c r="Y30" s="44">
        <f>+SUM(X30:X32)</f>
        <v>0</v>
      </c>
      <c r="Z30" s="19"/>
    </row>
    <row r="31" spans="2:26" ht="30.95" customHeight="1">
      <c r="B31" s="189"/>
      <c r="C31" s="221" t="s">
        <v>64</v>
      </c>
      <c r="D31" s="222"/>
      <c r="E31" s="223"/>
      <c r="F31" s="16">
        <v>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43">
        <f>AVERAGE(F31:Q31)</f>
        <v>0</v>
      </c>
      <c r="S31" s="192"/>
      <c r="T31" s="192"/>
      <c r="U31" s="192"/>
      <c r="V31" s="192"/>
      <c r="W31" s="192"/>
      <c r="X31" s="196"/>
      <c r="Y31" s="10"/>
      <c r="Z31" s="19"/>
    </row>
    <row r="32" spans="2:26" ht="30.95" customHeight="1">
      <c r="B32" s="190"/>
      <c r="C32" s="221" t="s">
        <v>21</v>
      </c>
      <c r="D32" s="222"/>
      <c r="E32" s="224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6"/>
      <c r="R32" s="193">
        <f>SUM(F32:Q32)</f>
        <v>0</v>
      </c>
      <c r="S32" s="194"/>
      <c r="T32" s="46">
        <v>0</v>
      </c>
      <c r="U32" s="84">
        <f>(((R32*'Factores de emisión y PCG'!$E$19)/1000/1000)*'Factores de emisión y PCG'!$L$7)</f>
        <v>0</v>
      </c>
      <c r="V32" s="46">
        <v>0</v>
      </c>
      <c r="W32" s="36">
        <v>0</v>
      </c>
      <c r="X32" s="37">
        <f>SUM(T32:W32)</f>
        <v>0</v>
      </c>
      <c r="Y32" s="10"/>
      <c r="Z32" s="19"/>
    </row>
    <row r="33" spans="2:26" ht="30.95" customHeight="1">
      <c r="B33" s="188" t="s">
        <v>43</v>
      </c>
      <c r="C33" s="215" t="s">
        <v>23</v>
      </c>
      <c r="D33" s="218" t="s">
        <v>24</v>
      </c>
      <c r="E33" s="30"/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38">
        <f t="shared" ref="R33" si="1">SUM(F33:Q33)</f>
        <v>0</v>
      </c>
      <c r="S33" s="191">
        <f>+SUM(R33:R36)</f>
        <v>0</v>
      </c>
      <c r="T33" s="191">
        <f>S33*'Factores de emisión y PCG'!$C$13/1000</f>
        <v>0</v>
      </c>
      <c r="U33" s="191">
        <v>0</v>
      </c>
      <c r="V33" s="191">
        <v>0</v>
      </c>
      <c r="W33" s="191">
        <v>0</v>
      </c>
      <c r="X33" s="195">
        <f>+SUM(T33:W35)</f>
        <v>0</v>
      </c>
      <c r="Y33" s="44">
        <f>+X33</f>
        <v>0</v>
      </c>
      <c r="Z33" s="19"/>
    </row>
    <row r="34" spans="2:26" ht="30.95" customHeight="1">
      <c r="B34" s="189"/>
      <c r="C34" s="216"/>
      <c r="D34" s="219"/>
      <c r="E34" s="30"/>
      <c r="F34" s="24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43">
        <f t="shared" ref="R34:R37" si="2">SUM(F34:Q34)</f>
        <v>0</v>
      </c>
      <c r="S34" s="201"/>
      <c r="T34" s="201"/>
      <c r="U34" s="201"/>
      <c r="V34" s="201"/>
      <c r="W34" s="201"/>
      <c r="X34" s="202"/>
      <c r="Y34" s="10"/>
      <c r="Z34" s="19"/>
    </row>
    <row r="35" spans="2:26" ht="30.95" customHeight="1">
      <c r="B35" s="189"/>
      <c r="C35" s="216"/>
      <c r="D35" s="219"/>
      <c r="E35" s="31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43">
        <f t="shared" si="2"/>
        <v>0</v>
      </c>
      <c r="S35" s="201"/>
      <c r="T35" s="201"/>
      <c r="U35" s="201"/>
      <c r="V35" s="201"/>
      <c r="W35" s="201"/>
      <c r="X35" s="202"/>
      <c r="Y35" s="19"/>
      <c r="Z35" s="19"/>
    </row>
    <row r="36" spans="2:26" ht="30.95" customHeight="1">
      <c r="B36" s="190"/>
      <c r="C36" s="217"/>
      <c r="D36" s="220"/>
      <c r="E36" s="32"/>
      <c r="F36" s="24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43">
        <f t="shared" si="2"/>
        <v>0</v>
      </c>
      <c r="S36" s="192"/>
      <c r="T36" s="192"/>
      <c r="U36" s="192"/>
      <c r="V36" s="192"/>
      <c r="W36" s="192"/>
      <c r="X36" s="196"/>
      <c r="Y36" s="19"/>
      <c r="Z36" s="19"/>
    </row>
    <row r="37" spans="2:26" ht="30.95" customHeight="1">
      <c r="B37" s="20" t="s">
        <v>44</v>
      </c>
      <c r="C37" s="221" t="s">
        <v>63</v>
      </c>
      <c r="D37" s="222"/>
      <c r="E37" s="223"/>
      <c r="F37" s="24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6"/>
      <c r="R37" s="213">
        <f t="shared" si="2"/>
        <v>0</v>
      </c>
      <c r="S37" s="214"/>
      <c r="T37" s="39">
        <f>((R37*'Factores de emisión y PCG'!$C$8)/1000)*'Factores de emisión y PCG'!$K$7</f>
        <v>0</v>
      </c>
      <c r="U37" s="39">
        <f>((R37*'Factores de emisión y PCG'!$E$8)/1000/1000)*'Factores de emisión y PCG'!$L$7</f>
        <v>0</v>
      </c>
      <c r="V37" s="39">
        <f>((R37*'Factores de emisión y PCG'!$G$8)/1000/1000)*'Factores de emisión y PCG'!$M$7</f>
        <v>0</v>
      </c>
      <c r="W37" s="38">
        <v>0</v>
      </c>
      <c r="X37" s="40">
        <f t="shared" ref="X37:X58" si="3">SUM(T37:W37)</f>
        <v>0</v>
      </c>
      <c r="Y37" s="19"/>
      <c r="Z37" s="19"/>
    </row>
    <row r="38" spans="2:26" ht="30.95" customHeight="1">
      <c r="B38" s="20" t="s">
        <v>45</v>
      </c>
      <c r="C38" s="221" t="s">
        <v>46</v>
      </c>
      <c r="D38" s="222"/>
      <c r="E38" s="223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6"/>
      <c r="R38" s="193">
        <f>SUM(F38:Q38)/8.93</f>
        <v>0</v>
      </c>
      <c r="S38" s="194"/>
      <c r="T38" s="39">
        <f>((R38*'Factores de emisión y PCG'!$C$8)/1000)*'Factores de emisión y PCG'!$K$7</f>
        <v>0</v>
      </c>
      <c r="U38" s="39">
        <f>((R38*'Factores de emisión y PCG'!$E$8)/1000/1000)*'Factores de emisión y PCG'!$L$7</f>
        <v>0</v>
      </c>
      <c r="V38" s="39">
        <f>((R38*'Factores de emisión y PCG'!$G$8)/1000/1000)*'Factores de emisión y PCG'!$M$7</f>
        <v>0</v>
      </c>
      <c r="W38" s="38">
        <v>0</v>
      </c>
      <c r="X38" s="40">
        <f t="shared" si="3"/>
        <v>0</v>
      </c>
      <c r="Y38" s="19"/>
      <c r="Z38" s="19"/>
    </row>
    <row r="39" spans="2:26" ht="30.95" customHeight="1">
      <c r="B39" s="20" t="s">
        <v>47</v>
      </c>
      <c r="C39" s="221" t="s">
        <v>62</v>
      </c>
      <c r="D39" s="222"/>
      <c r="E39" s="223"/>
      <c r="F39" s="24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/>
      <c r="R39" s="213">
        <f t="shared" ref="R39" si="4">SUM(F39:Q39)</f>
        <v>0</v>
      </c>
      <c r="S39" s="214"/>
      <c r="T39" s="39">
        <f>((R39*'Factores de emisión y PCG'!$C$7)/1000)*'Factores de emisión y PCG'!$K$7</f>
        <v>0</v>
      </c>
      <c r="U39" s="39">
        <f>((R39*'Factores de emisión y PCG'!$L$7)/1000/1000)*'Factores de emisión y PCG'!$L$7</f>
        <v>0</v>
      </c>
      <c r="V39" s="39">
        <f>((R39*'Factores de emisión y PCG'!$G$7)/1000/1000)*'Factores de emisión y PCG'!$M$7</f>
        <v>0</v>
      </c>
      <c r="W39" s="38">
        <v>0</v>
      </c>
      <c r="X39" s="40">
        <f t="shared" si="3"/>
        <v>0</v>
      </c>
      <c r="Y39" s="19"/>
      <c r="Z39" s="19"/>
    </row>
    <row r="40" spans="2:26" ht="30.95" customHeight="1">
      <c r="B40" s="20" t="s">
        <v>48</v>
      </c>
      <c r="C40" s="221" t="s">
        <v>29</v>
      </c>
      <c r="D40" s="222"/>
      <c r="E40" s="22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193">
        <f>SUM(F40:Q40)/8.93</f>
        <v>0</v>
      </c>
      <c r="S40" s="194"/>
      <c r="T40" s="39">
        <f>((R40*'Factores de emisión y PCG'!$C$7)/1000)*'Factores de emisión y PCG'!$K$7</f>
        <v>0</v>
      </c>
      <c r="U40" s="39">
        <f>((R40*'Factores de emisión y PCG'!$E$7)/1000/1000)*'Factores de emisión y PCG'!$L$7</f>
        <v>0</v>
      </c>
      <c r="V40" s="39">
        <f>((R40*'Factores de emisión y PCG'!$G$7)/1000/1000)*'Factores de emisión y PCG'!$M$7</f>
        <v>0</v>
      </c>
      <c r="W40" s="38">
        <v>0</v>
      </c>
      <c r="X40" s="40">
        <f t="shared" si="3"/>
        <v>0</v>
      </c>
      <c r="Y40" s="19"/>
      <c r="Z40" s="19"/>
    </row>
    <row r="41" spans="2:26" ht="30.95" customHeight="1">
      <c r="B41" s="20" t="s">
        <v>49</v>
      </c>
      <c r="C41" s="221" t="s">
        <v>30</v>
      </c>
      <c r="D41" s="222"/>
      <c r="E41" s="22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6"/>
      <c r="R41" s="213">
        <f t="shared" ref="R41:R56" si="5">SUM(F41:Q41)</f>
        <v>0</v>
      </c>
      <c r="S41" s="214"/>
      <c r="T41" s="48">
        <f>((R41*'Factores de emisión y PCG'!$C$18)/1000)*'Factores de emisión y PCG'!$K$7</f>
        <v>0</v>
      </c>
      <c r="U41" s="48">
        <f>((R41*'Factores de emisión y PCG'!$E$18)/1000/1000)*'Factores de emisión y PCG'!$L$7</f>
        <v>0</v>
      </c>
      <c r="V41" s="48">
        <f>((R41*'Factores de emisión y PCG'!$G$18)/1000/1000)*'Factores de emisión y PCG'!$M$7</f>
        <v>0</v>
      </c>
      <c r="W41" s="38">
        <v>0</v>
      </c>
      <c r="X41" s="40">
        <f t="shared" si="3"/>
        <v>0</v>
      </c>
      <c r="Y41" s="19"/>
      <c r="Z41" s="19"/>
    </row>
    <row r="42" spans="2:26" ht="30.95" customHeight="1">
      <c r="B42" s="20" t="s">
        <v>50</v>
      </c>
      <c r="C42" s="221" t="s">
        <v>31</v>
      </c>
      <c r="D42" s="222"/>
      <c r="E42" s="22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213">
        <f t="shared" si="5"/>
        <v>0</v>
      </c>
      <c r="S42" s="214"/>
      <c r="T42" s="48">
        <f>((R42*'Factores de emisión y PCG'!$C$18)/1000)*'Factores de emisión y PCG'!$K$7</f>
        <v>0</v>
      </c>
      <c r="U42" s="48">
        <f>((R42*'Factores de emisión y PCG'!$E$18)/1000/1000)*'Factores de emisión y PCG'!$L$7</f>
        <v>0</v>
      </c>
      <c r="V42" s="48">
        <f>((R42*'Factores de emisión y PCG'!$G$18)/1000/1000)*'Factores de emisión y PCG'!$M$7</f>
        <v>0</v>
      </c>
      <c r="W42" s="38">
        <v>0</v>
      </c>
      <c r="X42" s="40">
        <f t="shared" si="3"/>
        <v>0</v>
      </c>
      <c r="Y42" s="19"/>
      <c r="Z42" s="19"/>
    </row>
    <row r="43" spans="2:26" ht="30.95" customHeight="1">
      <c r="B43" s="20" t="s">
        <v>61</v>
      </c>
      <c r="C43" s="221" t="s">
        <v>74</v>
      </c>
      <c r="D43" s="222"/>
      <c r="E43" s="22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6"/>
      <c r="R43" s="213">
        <f t="shared" si="5"/>
        <v>0</v>
      </c>
      <c r="S43" s="214"/>
      <c r="T43" s="48">
        <f>((R43*'Factores de emisión y PCG'!$C$16)/1000)*'Factores de emisión y PCG'!$K$7</f>
        <v>0</v>
      </c>
      <c r="U43" s="48">
        <f>((R43*'Factores de emisión y PCG'!$E$16)/1000/1000)*'Factores de emisión y PCG'!$L$7</f>
        <v>0</v>
      </c>
      <c r="V43" s="48">
        <f>((R43*'Factores de emisión y PCG'!$G$16)/1000/1000)*'Factores de emisión y PCG'!$M$7</f>
        <v>0</v>
      </c>
      <c r="W43" s="38">
        <v>0</v>
      </c>
      <c r="X43" s="40">
        <f t="shared" si="3"/>
        <v>0</v>
      </c>
      <c r="Y43" s="19"/>
      <c r="Z43" s="19"/>
    </row>
    <row r="44" spans="2:26" ht="30.95" customHeight="1">
      <c r="B44" s="20" t="s">
        <v>73</v>
      </c>
      <c r="C44" s="21" t="s">
        <v>74</v>
      </c>
      <c r="D44" s="22"/>
      <c r="E44" s="23"/>
      <c r="F44" s="24">
        <v>125.78</v>
      </c>
      <c r="G44" s="25">
        <v>188.66</v>
      </c>
      <c r="H44" s="25">
        <v>149.66999999999999</v>
      </c>
      <c r="I44" s="25">
        <v>199.14</v>
      </c>
      <c r="J44" s="25">
        <v>107.16</v>
      </c>
      <c r="K44" s="25">
        <v>88.47</v>
      </c>
      <c r="L44" s="25">
        <v>78.87</v>
      </c>
      <c r="M44" s="25">
        <v>113.21</v>
      </c>
      <c r="N44" s="25">
        <v>114.58</v>
      </c>
      <c r="O44" s="25">
        <v>125.47</v>
      </c>
      <c r="P44" s="25">
        <v>121.2</v>
      </c>
      <c r="Q44" s="26">
        <v>141.47999999999999</v>
      </c>
      <c r="R44" s="213">
        <f>SUM(F44:Q44)</f>
        <v>1553.69</v>
      </c>
      <c r="S44" s="214"/>
      <c r="T44" s="48">
        <f>+R44*'Factores de emisión y PCG'!$C$20*'Factores de emisión y PCG'!$K$7/1000</f>
        <v>2.5029945900000001</v>
      </c>
      <c r="U44" s="48">
        <f>+S44*'Factores de emisión y PCG'!$E$20*'Factores de emisión y PCG'!$L$7/1000/1000</f>
        <v>0</v>
      </c>
      <c r="V44" s="48">
        <f>+T44*'Factores de emisión y PCG'!$G$20*'Factores de emisión y PCG'!$M$7/1000/1000</f>
        <v>3.9572344467900003E-6</v>
      </c>
      <c r="W44" s="48">
        <v>0</v>
      </c>
      <c r="X44" s="40">
        <f t="shared" si="3"/>
        <v>2.5029985472344469</v>
      </c>
      <c r="Y44" s="19"/>
      <c r="Z44" s="19"/>
    </row>
    <row r="45" spans="2:26" ht="30.95" customHeight="1">
      <c r="B45" s="20" t="s">
        <v>54</v>
      </c>
      <c r="C45" s="221" t="s">
        <v>32</v>
      </c>
      <c r="D45" s="222"/>
      <c r="E45" s="22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6"/>
      <c r="R45" s="213">
        <f t="shared" si="5"/>
        <v>0</v>
      </c>
      <c r="S45" s="214"/>
      <c r="T45" s="48">
        <v>0</v>
      </c>
      <c r="U45" s="48">
        <v>0</v>
      </c>
      <c r="V45" s="48">
        <v>0</v>
      </c>
      <c r="W45" s="41">
        <f>+((R45*'Factores de emisión y PCG'!$K$13)/1000)</f>
        <v>0</v>
      </c>
      <c r="X45" s="40">
        <f t="shared" si="3"/>
        <v>0</v>
      </c>
      <c r="Y45" s="19"/>
      <c r="Z45" s="19"/>
    </row>
    <row r="46" spans="2:26" ht="30.95" customHeight="1">
      <c r="B46" s="20" t="s">
        <v>55</v>
      </c>
      <c r="C46" s="221" t="s">
        <v>102</v>
      </c>
      <c r="D46" s="222"/>
      <c r="E46" s="223"/>
      <c r="F46" s="24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  <c r="R46" s="213">
        <f t="shared" si="5"/>
        <v>0</v>
      </c>
      <c r="S46" s="214"/>
      <c r="T46" s="48">
        <v>0</v>
      </c>
      <c r="U46" s="48">
        <v>0</v>
      </c>
      <c r="V46" s="48">
        <v>0</v>
      </c>
      <c r="W46" s="41">
        <f>+(R46*'Factores de emisión y PCG'!$K$13)/1000</f>
        <v>0</v>
      </c>
      <c r="X46" s="40">
        <f t="shared" si="3"/>
        <v>0</v>
      </c>
      <c r="Y46" s="19"/>
      <c r="Z46" s="19"/>
    </row>
    <row r="47" spans="2:26" ht="30.95" customHeight="1">
      <c r="B47" s="20" t="s">
        <v>57</v>
      </c>
      <c r="C47" s="221" t="s">
        <v>65</v>
      </c>
      <c r="D47" s="222"/>
      <c r="E47" s="223"/>
      <c r="F47" s="24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213">
        <f t="shared" si="5"/>
        <v>0</v>
      </c>
      <c r="S47" s="214"/>
      <c r="T47" s="48">
        <v>0</v>
      </c>
      <c r="U47" s="48">
        <v>0</v>
      </c>
      <c r="V47" s="48">
        <v>0</v>
      </c>
      <c r="W47" s="48">
        <f>+(R47*'Factores de emisión y PCG'!$K$9)/1000</f>
        <v>0</v>
      </c>
      <c r="X47" s="40">
        <f>SUM(T47:W47)</f>
        <v>0</v>
      </c>
      <c r="Y47" s="19"/>
      <c r="Z47" s="19"/>
    </row>
    <row r="48" spans="2:26" ht="30.95" customHeight="1">
      <c r="B48" s="20" t="s">
        <v>58</v>
      </c>
      <c r="C48" s="221" t="s">
        <v>103</v>
      </c>
      <c r="D48" s="222"/>
      <c r="E48" s="223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6"/>
      <c r="R48" s="213">
        <f t="shared" si="5"/>
        <v>0</v>
      </c>
      <c r="S48" s="214"/>
      <c r="T48" s="48">
        <v>0</v>
      </c>
      <c r="U48" s="48">
        <v>0</v>
      </c>
      <c r="V48" s="48">
        <v>0</v>
      </c>
      <c r="W48" s="48">
        <f>+(R48*'Factores de emisión y PCG'!$K$13)/1000</f>
        <v>0</v>
      </c>
      <c r="X48" s="40">
        <f t="shared" si="3"/>
        <v>0</v>
      </c>
      <c r="Y48" s="19"/>
      <c r="Z48" s="19"/>
    </row>
    <row r="49" spans="2:26" ht="30.95" customHeight="1">
      <c r="B49" s="20" t="s">
        <v>59</v>
      </c>
      <c r="C49" s="221" t="s">
        <v>104</v>
      </c>
      <c r="D49" s="222"/>
      <c r="E49" s="223"/>
      <c r="F49" s="24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6"/>
      <c r="R49" s="213">
        <f t="shared" si="5"/>
        <v>0</v>
      </c>
      <c r="S49" s="214"/>
      <c r="T49" s="48">
        <v>0</v>
      </c>
      <c r="U49" s="48">
        <v>0</v>
      </c>
      <c r="V49" s="48">
        <v>0</v>
      </c>
      <c r="W49" s="48">
        <f>+(R49*'Factores de emisión y PCG'!$K$12)/1000</f>
        <v>0</v>
      </c>
      <c r="X49" s="40">
        <f t="shared" si="3"/>
        <v>0</v>
      </c>
      <c r="Y49" s="19"/>
      <c r="Z49" s="19"/>
    </row>
    <row r="50" spans="2:26" ht="30.95" customHeight="1">
      <c r="B50" s="20" t="s">
        <v>56</v>
      </c>
      <c r="C50" s="221" t="s">
        <v>105</v>
      </c>
      <c r="D50" s="222"/>
      <c r="E50" s="223"/>
      <c r="F50" s="24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6"/>
      <c r="R50" s="213">
        <f t="shared" si="5"/>
        <v>0</v>
      </c>
      <c r="S50" s="214"/>
      <c r="T50" s="48">
        <v>0</v>
      </c>
      <c r="U50" s="48">
        <v>0</v>
      </c>
      <c r="V50" s="48">
        <v>0</v>
      </c>
      <c r="W50" s="48">
        <f>+(R50*'Factores de emisión y PCG'!$K$10)/1000</f>
        <v>0</v>
      </c>
      <c r="X50" s="40">
        <f t="shared" si="3"/>
        <v>0</v>
      </c>
      <c r="Y50" s="19"/>
      <c r="Z50" s="19"/>
    </row>
    <row r="51" spans="2:26" ht="30.95" customHeight="1">
      <c r="B51" s="20" t="s">
        <v>77</v>
      </c>
      <c r="C51" s="221" t="s">
        <v>106</v>
      </c>
      <c r="D51" s="222"/>
      <c r="E51" s="223"/>
      <c r="F51" s="24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6"/>
      <c r="R51" s="213">
        <f t="shared" si="5"/>
        <v>0</v>
      </c>
      <c r="S51" s="214"/>
      <c r="T51" s="48">
        <v>0</v>
      </c>
      <c r="U51" s="48">
        <v>0</v>
      </c>
      <c r="V51" s="48">
        <v>0</v>
      </c>
      <c r="W51" s="41">
        <f>+(R51*'Factores de emisión y PCG'!$K$14)/1000</f>
        <v>0</v>
      </c>
      <c r="X51" s="40">
        <f t="shared" si="3"/>
        <v>0</v>
      </c>
      <c r="Y51" s="19"/>
      <c r="Z51" s="19"/>
    </row>
    <row r="52" spans="2:26" ht="30.95" customHeight="1">
      <c r="B52" s="20" t="s">
        <v>51</v>
      </c>
      <c r="C52" s="221" t="s">
        <v>66</v>
      </c>
      <c r="D52" s="222"/>
      <c r="E52" s="223"/>
      <c r="F52" s="24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6"/>
      <c r="R52" s="213">
        <f t="shared" si="5"/>
        <v>0</v>
      </c>
      <c r="S52" s="214"/>
      <c r="T52" s="48">
        <f>+(R52*'Factores de emisión y PCG'!$C$14)/1000</f>
        <v>0</v>
      </c>
      <c r="U52" s="48">
        <v>0</v>
      </c>
      <c r="V52" s="48">
        <v>0</v>
      </c>
      <c r="W52" s="41">
        <v>0</v>
      </c>
      <c r="X52" s="40">
        <f t="shared" si="3"/>
        <v>0</v>
      </c>
      <c r="Y52" s="19"/>
      <c r="Z52" s="19"/>
    </row>
    <row r="53" spans="2:26" ht="30.95" customHeight="1">
      <c r="B53" s="20" t="s">
        <v>52</v>
      </c>
      <c r="C53" s="221" t="s">
        <v>33</v>
      </c>
      <c r="D53" s="222"/>
      <c r="E53" s="223"/>
      <c r="F53" s="24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6"/>
      <c r="R53" s="213">
        <f t="shared" si="5"/>
        <v>0</v>
      </c>
      <c r="S53" s="214"/>
      <c r="T53" s="48">
        <f>((R53*'Factores de emisión y PCG'!$C$14)/1000)*'Factores de emisión y PCG'!$K$7</f>
        <v>0</v>
      </c>
      <c r="U53" s="48">
        <v>0</v>
      </c>
      <c r="V53" s="48">
        <v>0</v>
      </c>
      <c r="W53" s="41">
        <v>0</v>
      </c>
      <c r="X53" s="40">
        <f t="shared" si="3"/>
        <v>0</v>
      </c>
      <c r="Y53" s="19"/>
      <c r="Z53" s="19"/>
    </row>
    <row r="54" spans="2:26" ht="30.95" customHeight="1">
      <c r="B54" s="20" t="s">
        <v>67</v>
      </c>
      <c r="C54" s="221" t="s">
        <v>34</v>
      </c>
      <c r="D54" s="222"/>
      <c r="E54" s="223"/>
      <c r="F54" s="24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6"/>
      <c r="R54" s="213">
        <f t="shared" si="5"/>
        <v>0</v>
      </c>
      <c r="S54" s="214"/>
      <c r="T54" s="48">
        <f>+R54/1000</f>
        <v>0</v>
      </c>
      <c r="U54" s="48">
        <v>0</v>
      </c>
      <c r="V54" s="48">
        <v>0</v>
      </c>
      <c r="W54" s="41">
        <v>0</v>
      </c>
      <c r="X54" s="40">
        <f t="shared" si="3"/>
        <v>0</v>
      </c>
      <c r="Y54" s="19"/>
      <c r="Z54" s="19"/>
    </row>
    <row r="55" spans="2:26" ht="30.95" customHeight="1">
      <c r="B55" s="20" t="s">
        <v>68</v>
      </c>
      <c r="C55" s="221" t="s">
        <v>69</v>
      </c>
      <c r="D55" s="222"/>
      <c r="E55" s="223"/>
      <c r="F55" s="24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6"/>
      <c r="R55" s="213">
        <f t="shared" si="5"/>
        <v>0</v>
      </c>
      <c r="S55" s="214"/>
      <c r="T55" s="48">
        <f>((((((R55*1000)/26)*2)*44)/1000)/1000)</f>
        <v>0</v>
      </c>
      <c r="U55" s="48">
        <v>0</v>
      </c>
      <c r="V55" s="48">
        <v>0</v>
      </c>
      <c r="W55" s="41">
        <v>0</v>
      </c>
      <c r="X55" s="40">
        <f t="shared" si="3"/>
        <v>0</v>
      </c>
      <c r="Y55" s="19"/>
      <c r="Z55" s="19"/>
    </row>
    <row r="56" spans="2:26" ht="30.95" customHeight="1">
      <c r="B56" s="20" t="s">
        <v>53</v>
      </c>
      <c r="C56" s="221" t="s">
        <v>35</v>
      </c>
      <c r="D56" s="222"/>
      <c r="E56" s="223"/>
      <c r="F56" s="27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9"/>
      <c r="R56" s="213">
        <f t="shared" si="5"/>
        <v>0</v>
      </c>
      <c r="S56" s="214"/>
      <c r="T56" s="47">
        <f>+(R56*'Factores de emisión y PCG'!$C$14)/1000</f>
        <v>0</v>
      </c>
      <c r="U56" s="47">
        <v>0</v>
      </c>
      <c r="V56" s="47">
        <v>0</v>
      </c>
      <c r="W56" s="42">
        <v>0</v>
      </c>
      <c r="X56" s="37">
        <f t="shared" si="3"/>
        <v>0</v>
      </c>
      <c r="Y56" s="19"/>
      <c r="Z56" s="19"/>
    </row>
    <row r="57" spans="2:26" ht="30.95" customHeight="1">
      <c r="B57" s="20" t="s">
        <v>70</v>
      </c>
      <c r="C57" s="221" t="s">
        <v>149</v>
      </c>
      <c r="D57" s="222"/>
      <c r="E57" s="224"/>
      <c r="F57" s="73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5"/>
      <c r="R57" s="193">
        <f t="shared" ref="R57:R58" si="6">SUM(F57:Q57)</f>
        <v>0</v>
      </c>
      <c r="S57" s="194"/>
      <c r="T57" s="81">
        <f>(R57*'Factores de emisión y PCG'!$K$9)/1000</f>
        <v>0</v>
      </c>
      <c r="U57" s="81">
        <v>0</v>
      </c>
      <c r="V57" s="81">
        <v>0</v>
      </c>
      <c r="W57" s="83">
        <v>0</v>
      </c>
      <c r="X57" s="40">
        <f t="shared" si="3"/>
        <v>0</v>
      </c>
      <c r="Y57" s="19"/>
      <c r="Z57" s="19"/>
    </row>
    <row r="58" spans="2:26" ht="30.95" customHeight="1" thickBot="1">
      <c r="B58" s="85" t="s">
        <v>145</v>
      </c>
      <c r="C58" s="228" t="s">
        <v>146</v>
      </c>
      <c r="D58" s="229"/>
      <c r="E58" s="230"/>
      <c r="F58" s="70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2">
        <v>0</v>
      </c>
      <c r="R58" s="211">
        <f t="shared" si="6"/>
        <v>0</v>
      </c>
      <c r="S58" s="212"/>
      <c r="T58" s="82">
        <v>0</v>
      </c>
      <c r="U58" s="82">
        <f>((R58*'Factores de emisión y PCG'!$E$21)/1000/1000)*'Factores de emisión y PCG'!$L$7</f>
        <v>0</v>
      </c>
      <c r="V58" s="77">
        <v>0</v>
      </c>
      <c r="W58" s="78">
        <v>0</v>
      </c>
      <c r="X58" s="79">
        <f t="shared" si="3"/>
        <v>0</v>
      </c>
    </row>
  </sheetData>
  <mergeCells count="72">
    <mergeCell ref="C58:E58"/>
    <mergeCell ref="R58:S58"/>
    <mergeCell ref="R29:S29"/>
    <mergeCell ref="D2:L2"/>
    <mergeCell ref="D3:L3"/>
    <mergeCell ref="C11:F11"/>
    <mergeCell ref="C10:F10"/>
    <mergeCell ref="C6:F7"/>
    <mergeCell ref="C8:F8"/>
    <mergeCell ref="C9:F9"/>
    <mergeCell ref="C29:E29"/>
    <mergeCell ref="S33:S36"/>
    <mergeCell ref="C37:E37"/>
    <mergeCell ref="R37:S37"/>
    <mergeCell ref="C48:E48"/>
    <mergeCell ref="R48:S48"/>
    <mergeCell ref="B33:B36"/>
    <mergeCell ref="C33:C36"/>
    <mergeCell ref="D33:D36"/>
    <mergeCell ref="B30:B32"/>
    <mergeCell ref="C30:E30"/>
    <mergeCell ref="T33:T36"/>
    <mergeCell ref="W30:W31"/>
    <mergeCell ref="X30:X31"/>
    <mergeCell ref="C31:E31"/>
    <mergeCell ref="C32:E32"/>
    <mergeCell ref="R32:S32"/>
    <mergeCell ref="V30:V31"/>
    <mergeCell ref="T30:T31"/>
    <mergeCell ref="U30:U31"/>
    <mergeCell ref="V33:V36"/>
    <mergeCell ref="W33:W36"/>
    <mergeCell ref="X33:X36"/>
    <mergeCell ref="S30:S31"/>
    <mergeCell ref="U33:U36"/>
    <mergeCell ref="C41:E41"/>
    <mergeCell ref="R41:S41"/>
    <mergeCell ref="C42:E42"/>
    <mergeCell ref="R42:S42"/>
    <mergeCell ref="C43:E43"/>
    <mergeCell ref="R43:S43"/>
    <mergeCell ref="R44:S44"/>
    <mergeCell ref="C49:E49"/>
    <mergeCell ref="R49:S49"/>
    <mergeCell ref="C50:E50"/>
    <mergeCell ref="R50:S50"/>
    <mergeCell ref="C45:E45"/>
    <mergeCell ref="R45:S45"/>
    <mergeCell ref="R46:S46"/>
    <mergeCell ref="C47:E47"/>
    <mergeCell ref="R47:S47"/>
    <mergeCell ref="C52:E52"/>
    <mergeCell ref="R52:S52"/>
    <mergeCell ref="C53:E53"/>
    <mergeCell ref="R53:S53"/>
    <mergeCell ref="C46:E46"/>
    <mergeCell ref="C57:E57"/>
    <mergeCell ref="R57:S57"/>
    <mergeCell ref="C38:E38"/>
    <mergeCell ref="R38:S38"/>
    <mergeCell ref="C39:E39"/>
    <mergeCell ref="R39:S39"/>
    <mergeCell ref="C40:E40"/>
    <mergeCell ref="R40:S40"/>
    <mergeCell ref="C54:E54"/>
    <mergeCell ref="R54:S54"/>
    <mergeCell ref="C55:E55"/>
    <mergeCell ref="R55:S55"/>
    <mergeCell ref="C56:E56"/>
    <mergeCell ref="R56:S56"/>
    <mergeCell ref="C51:E51"/>
    <mergeCell ref="R51:S51"/>
  </mergeCells>
  <pageMargins left="0.69930555555555596" right="0.69930555555555596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Reporte por año</vt:lpstr>
      <vt:lpstr>Reporte por gas y alcance</vt:lpstr>
      <vt:lpstr>Reporte por fuente de GEI</vt:lpstr>
      <vt:lpstr>Reporte por alcance</vt:lpstr>
      <vt:lpstr>BN Valores_2019</vt:lpstr>
      <vt:lpstr>Factores de emisión y PCG</vt:lpstr>
      <vt:lpstr>Almacén de Control de Bienes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Balance Ambiental</dc:creator>
  <cp:lastModifiedBy>Nathaly Fuentes Jiménez</cp:lastModifiedBy>
  <dcterms:created xsi:type="dcterms:W3CDTF">2017-10-25T20:39:00Z</dcterms:created>
  <dcterms:modified xsi:type="dcterms:W3CDTF">2020-10-14T02:08:52Z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2058-10.1.0.5657</vt:lpwstr>
  </property>
</Properties>
</file>